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8" activeTab="0"/>
  </bookViews>
  <sheets>
    <sheet name="Załącznik nr 1" sheetId="1" r:id="rId1"/>
  </sheets>
  <definedNames>
    <definedName name="Excel_BuiltIn_Print_Area_1">'Załącznik nr 1'!$A$1:$F$333</definedName>
    <definedName name="_xlnm.Print_Area" localSheetId="0">'Załącznik nr 1'!$A$1:$F$354</definedName>
  </definedNames>
  <calcPr fullCalcOnLoad="1"/>
</workbook>
</file>

<file path=xl/sharedStrings.xml><?xml version="1.0" encoding="utf-8"?>
<sst xmlns="http://schemas.openxmlformats.org/spreadsheetml/2006/main" count="652" uniqueCount="345">
  <si>
    <t> Lp.</t>
  </si>
  <si>
    <t>Asortyment</t>
  </si>
  <si>
    <t>Jednostka miary</t>
  </si>
  <si>
    <t>Ilość</t>
  </si>
  <si>
    <t>Cena jednostkowa netto [zł]</t>
  </si>
  <si>
    <t>Cena jednostkowa brutto [zł]</t>
  </si>
  <si>
    <r>
      <t>I.   ARTYKUŁY PAPIERNICZE</t>
    </r>
    <r>
      <rPr>
        <b/>
        <sz val="13"/>
        <color indexed="10"/>
        <rFont val="Times New Roman"/>
        <family val="1"/>
      </rPr>
      <t xml:space="preserve"> - DELKO</t>
    </r>
  </si>
  <si>
    <t>Papier toaletowy makulaturowy, szary. Szerokość min. 9 cm, min. 20 mb w rolce. Worek (64 rolki).</t>
  </si>
  <si>
    <t>Worek (64 rolki)</t>
  </si>
  <si>
    <t xml:space="preserve">Papier toaletowy biały. Szerokość min. 9 cm, min. 25 mb w rolce. </t>
  </si>
  <si>
    <t>Rolka</t>
  </si>
  <si>
    <t>Papier toaletowy do dozowników typu Jumbo: szary, jednowarstwowy 0,6 kg, długość min. 145 mb.</t>
  </si>
  <si>
    <t>Sztuka</t>
  </si>
  <si>
    <t>Papier toaletowy 19fi szary PLUS (240m) typ JUMBO. Opakowanie po 12 sztuk.</t>
  </si>
  <si>
    <t>Papier toalet.19fi biały (min.140m) typ JUMBO szer. 9,5cm. Opakowanie po 12sztuk.</t>
  </si>
  <si>
    <t>Pojedyncze ręczniki papierowe składane Z-Z, zielone lub szary. Opakowanie po 4000 sztuk.</t>
  </si>
  <si>
    <t>Ręczniki papierowe do dozownika o średnicy 14 cm z wyciąganą tuleją typu MINI od środka 0,8 kg.</t>
  </si>
  <si>
    <t xml:space="preserve">Sztuka </t>
  </si>
  <si>
    <t>Ręczniki kuchenne białe dwuwarstwowe perforowane, min. 54 listki na rolce. wymiar listka min. 25 x 22,30 cm. Opakowanie po 2 rolki.</t>
  </si>
  <si>
    <t>Ręczniki kuchenne białe trójwarstwowe perforowane , min 54 listki na rolce, wymiar listka 25 x 22,40. Opakowanie po 2 rolki.</t>
  </si>
  <si>
    <t xml:space="preserve">Ręczniki w rolach ze specjalnym adaptorem umożliwiającym dozowanie ręcznika            z automatycznych podajników. Parametry ręcznika: 100% celulozy gofrowany miękki superbiały. Średnica rolki 15cm wysokość rolki 20,6 cm, dł. Rolki 140m              (509 listków) </t>
  </si>
  <si>
    <t>Czyściwo Saga L-1-warstwowe zielone, pojedyncze 35 cm.</t>
  </si>
  <si>
    <t>Czyściwo Białe MAXI śr. 28 cm makulatura 2-warstwowy, wykonany z bibułki tissue - makulaturowej o gramaturze 2 x 20 gr/m2, średnica 28 cm, wys. 27 cm, dł. 280 m, waga rolki 3 kg.</t>
  </si>
  <si>
    <t>Ręczniki białe dwu- lub trzywarstwowe specjalne - niepylące. Opakowanie po 2 rolki.</t>
  </si>
  <si>
    <t>Serwetki papierowe</t>
  </si>
  <si>
    <t>Opakowanie</t>
  </si>
  <si>
    <t>Torby papierowe, różne rozmiary. Opakowanie 1 kg.</t>
  </si>
  <si>
    <r>
      <t xml:space="preserve">II.   PŁYNY UNIWERSALNE, PŁYNY DO MYCIA PODŁÓG </t>
    </r>
    <r>
      <rPr>
        <b/>
        <sz val="13"/>
        <color indexed="10"/>
        <rFont val="Times New Roman"/>
        <family val="1"/>
      </rPr>
      <t>- VIRGO</t>
    </r>
  </si>
  <si>
    <t>PUR apple płyn uniwersalny. Pojemność 2 l.</t>
  </si>
  <si>
    <t>"FLOOR" uniwersalny płyn do mycia podłóg, ścian i glazury, jednoczesna dezynfekcja. Pojemność 1 l.</t>
  </si>
  <si>
    <t>"FEJA FP – 1" uniwersalny płyn do mycia powierzchni z lastrico, marmuru, powierzchni drewnianych, glazury, terakoty. Możliwość stosowania do mycia ręcznego lub maszynowego, posiadający właściwości nabłyszczające.                    Pojemność 5 l</t>
  </si>
  <si>
    <t xml:space="preserve">"FP - 2"  płyn uniwersalny, do silnie zabrudzonych powierzchni. Pojemność 1 l. </t>
  </si>
  <si>
    <t>"FEJA FP - 2" płyn do powierzchni silnie zabrudzonych podłogowych                                                            i nadpodłogowych, do usuwania tłuszczów, smarów i sadzy. Możliwość stosowania do mycia ręcznego lub maszynowego. Pojemność 5 l.</t>
  </si>
  <si>
    <t>"AJAX FLORAL FIESTA" uniwersalny płyn do mycia podłóg, długotrwały zapach, rózne zapachy. Pojemność 1 l.</t>
  </si>
  <si>
    <t>1 l</t>
  </si>
  <si>
    <t>"CIF  BRILLIANCE" płyn do mycia podłóg. Pojemność 5 l.</t>
  </si>
  <si>
    <t>„SEPTA FLOOR” płyn do pielęgnacji wszystkich rodzajów posadzek, szybkoschnący, bezsmugowy, antypoślizgowy. Pojemność 1 l.</t>
  </si>
  <si>
    <t>„AGATA” nabłyszczający płyn do podłóg drewnianych. Pojemność 700 ml.</t>
  </si>
  <si>
    <t>"TASKI SANOFRESH PERLA" dezodorujący środek nadający się do zmywania wszelkich wodoodpornych powierzchni w łazienkach, toaletach, umywalkach, szatniach (terekota, porcelana, emalia, wykładziny z kamienia naturalnego                                                  i sztucznego, lustra, lamperie, itp.). Pozostawia przyjemny zapach o perłowej nucie. Pojemność 1 l.</t>
  </si>
  <si>
    <t>"TASKI MAGIC PLUS" gotowa do użycia emulaja do natryskiwania                                                o przyjemnym zapachu i doskonałych właściwościach czyszcząco-konserwujących, specjalnie do użytku z maszyną jednotarczową. Pojemność 10 l.</t>
  </si>
  <si>
    <t>"GP-125" polimer, pasta PCV i kamienia. Pojemność 5 l.</t>
  </si>
  <si>
    <t>"SANIVEX" środek do czyszczenia powierzchni, starych zabrudzeń.</t>
  </si>
  <si>
    <t>"MAXI" płyn do szorowania do maszyn, pojemność 5 l.</t>
  </si>
  <si>
    <t>"ALLkombi" uniwersalny środek czyszczący, głównie do maszyn myjących. Pojemność 5 l.</t>
  </si>
  <si>
    <t xml:space="preserve">Alkaliczny koncentrat do gruntowego czyszczenia "Tornado". Pojemność10 l. </t>
  </si>
  <si>
    <t>"SIDOLUX" płyn uniwersalny, różne zapachy, nadaje połysk mytym powierzchniom, do mycia łazienek i podłóg. Pojemność 1 l.</t>
  </si>
  <si>
    <t>"AJAX" płyn do podłóg zapasowy. Pojemność 1 l.</t>
  </si>
  <si>
    <r>
      <t xml:space="preserve">III.   PASTY  DO  PODŁÓG </t>
    </r>
    <r>
      <rPr>
        <b/>
        <sz val="13"/>
        <color indexed="10"/>
        <rFont val="Times New Roman"/>
        <family val="1"/>
      </rPr>
      <t>- DELKO</t>
    </r>
  </si>
  <si>
    <t>"SILUX" pasta nabłyszczająca do podłóg, środek do pielęgnacji parkietów. Pojemność 500 ml.</t>
  </si>
  <si>
    <t>"SINLUX" pasta emulsyjna do podłóg.</t>
  </si>
  <si>
    <t>"TYTAN" pasta samopołyskowa. Pojemność 700 g.</t>
  </si>
  <si>
    <t>"TYTAN" pasta samopołyskowa. Pojemność 450 g.</t>
  </si>
  <si>
    <t>"EKOLOGICZNA SAMOPOŁYSKOWA" pasta wodna do podłóg z tworzyw sztucznych. Pojemność 1 l.</t>
  </si>
  <si>
    <r>
      <t>"SIDOLUX" emulsja do pielęgnacji parkietów, drewna,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wykładzin PCV, marmuru, lastrica i glazury. Pojemność 1 l.</t>
    </r>
  </si>
  <si>
    <t>Pasta do podłóg "POPULARNA" (w butelkach). Pojemność 440 ml.</t>
  </si>
  <si>
    <t>CLEANLUX" płyn do zmywania pasty Sidolux. Pojemność 500 ml</t>
  </si>
  <si>
    <t xml:space="preserve">„HG czysta błyszcząca podłoga” płyn o świeżym zapachu, do codziennego stosowania, nadający połysk. Pojemność 1l. </t>
  </si>
  <si>
    <t xml:space="preserve">„HG czysty gres” płyn do mycia podłóg i powierzchni z gresu i płytek kamiennych. Pojemność 1l.  </t>
  </si>
  <si>
    <t>"HG płytki ceramiczne i naturalny kamień.Pojemność 1l.</t>
  </si>
  <si>
    <t>"PRONTO" pasta do podłóg drewnianych, nadająca połysk, bez polerowania. Pojemność 750 ml.</t>
  </si>
  <si>
    <r>
      <t xml:space="preserve">IV.   PŁYNY DO MYCIA SZYB, LUSTER i CERAMIKI </t>
    </r>
    <r>
      <rPr>
        <b/>
        <sz val="13"/>
        <color indexed="10"/>
        <rFont val="Times New Roman"/>
        <family val="1"/>
      </rPr>
      <t>- DELKO</t>
    </r>
  </si>
  <si>
    <t xml:space="preserve">"GLASREIN" płyn do mycia szyb i luster z rozpylaczem. Pojemność 1l. </t>
  </si>
  <si>
    <t>"GLASREIN" płyn do mycia szyb i luster, zapas. Pojemność 1 l.</t>
  </si>
  <si>
    <t>"WINDOW PLUS" płyn do mycia okien z amoniakiem.Pojemność 750 ml.</t>
  </si>
  <si>
    <t>"WINDOW PLUS" płyn do mycia okien z amoniakiem, z rozpylaczem.                                            Pojemność 1 l.</t>
  </si>
  <si>
    <t>"WINDOW PLUS" płyn do mycia okien z octem, z rozpylaczem.                              Pojemność 750 ml.</t>
  </si>
  <si>
    <t xml:space="preserve">"WINDOW PLUS" płyn do mycia okien z octem. Pojemność 750 ml. </t>
  </si>
  <si>
    <t xml:space="preserve">"Mr Muscle" płyn do szyb i innych powierzchni,  zielony z rozpylaczem. Pojemność 500 ml. </t>
  </si>
  <si>
    <t>"AJAX WINDOW" płyn do szyb, z rozpylaczem. Pojemność 750 ml.</t>
  </si>
  <si>
    <t>"AJAX WINDOW" płyn do szyb, zapas. Pojemność 750 ml.</t>
  </si>
  <si>
    <t>"CLIN" płyn do mycia szyb, z rozpylaczem. Pojemność 500 ml.</t>
  </si>
  <si>
    <t>"CLIN" płyn do mycia szyb, zapas. Pojemność 500 ml.</t>
  </si>
  <si>
    <t>"CLIN Antypara" płyn do mycia szyb. Pojemość 500 ml.</t>
  </si>
  <si>
    <t>Multi Sprint pianka do plastików (do mycia ram okiennych plastikowych). Pojemność400 ml.</t>
  </si>
  <si>
    <r>
      <t xml:space="preserve">V.   PŁYNY DO NACZYŃ </t>
    </r>
    <r>
      <rPr>
        <b/>
        <sz val="13"/>
        <color indexed="10"/>
        <rFont val="Times New Roman"/>
        <family val="1"/>
      </rPr>
      <t>- DELKO</t>
    </r>
  </si>
  <si>
    <t>"REMIX-MS" płyn do mycia naczyń. Opakowanie 25 kg.</t>
  </si>
  <si>
    <t>"LUDWIK S" płyn do naczyń cytrynowy lub miętowy.  Pojemność 1 l.</t>
  </si>
  <si>
    <t xml:space="preserve"> "LUDWIK S" płyn do naczyń cytrynowy lub miętowy. Pojemność 5 l.</t>
  </si>
  <si>
    <t>"GOLD CYTRUS" zagęszczony płyn do mycia naczyń. Pojemność 1 l.</t>
  </si>
  <si>
    <t>"FROSCH" cytrynowy balsam do mycia naczyń. Pojemność 500 ml.</t>
  </si>
  <si>
    <t>"PALMOLIVE" płyn do mycia naczyń. Pojemność 500 ml.</t>
  </si>
  <si>
    <t>"MORNING FRESH" płyn do mycia naczyń. Pojemność 500 ml.</t>
  </si>
  <si>
    <t>"REMIX-NO" płyn nabłyszczający do zmywarek. Pojemność 10 l.</t>
  </si>
  <si>
    <t>"TRILUX" płyn do mycia szkła laboratoryjnego. Pojemność 1 l.</t>
  </si>
  <si>
    <t>"SOMAT 7w1" tabletki do zmywarki. Opakowanie po 60 sztuk.</t>
  </si>
  <si>
    <t xml:space="preserve">"CALGONIT" sól ochronna do zmywarek. Opakowanie 1,5 kg. </t>
  </si>
  <si>
    <t>"CALGONIT" płyn nabłyszczający do zmywarek. Pojemność 500 ml.</t>
  </si>
  <si>
    <t>"CALGONIT" proszek do zmywarek. Opakowanie 2,5 kg.</t>
  </si>
  <si>
    <t xml:space="preserve"> "CALGONIT" tabletki do zmywarki. </t>
  </si>
  <si>
    <t>"CALGONIT DOUBLE ACTION" proszek do zmywarek. Opakowanie 2,5 kg.</t>
  </si>
  <si>
    <t>Proszek do zmywarek ROBOT. Opakowanie 1 kg.</t>
  </si>
  <si>
    <t>"PUR" płyn do naczyń. Pojemność 1 l.</t>
  </si>
  <si>
    <t>Kostki do zmywarki.</t>
  </si>
  <si>
    <t>Trzy w jednym płyn nabłyszczający, sól ochronna, proszek do zmywania, kostki.</t>
  </si>
  <si>
    <r>
      <t xml:space="preserve">VI.  PROSZKI,  PASTY, MLECZKA DO  CZYSZCZENIA </t>
    </r>
    <r>
      <rPr>
        <b/>
        <sz val="13"/>
        <color indexed="10"/>
        <rFont val="Times New Roman"/>
        <family val="1"/>
      </rPr>
      <t>- DELKO</t>
    </r>
  </si>
  <si>
    <t>"TYTAN" mleczko do czyszczenia do usuwania brudu, tłuszczu i plam. Pojemność 500 ml.</t>
  </si>
  <si>
    <t>"CIF" mleczko do czyszczenia do usuwania brudu. Pojemność 700 ml.</t>
  </si>
  <si>
    <t>"TYTAN" płyn w sprayu do usuwania przypaleń. Pojemność 500 ml.</t>
  </si>
  <si>
    <t>Cif super uniwersal, spray (niebieski). Pojemność 750 ml.</t>
  </si>
  <si>
    <t>"CIF POWER CERAM" do łazienki w sprayu. Pojemność 750 ml.</t>
  </si>
  <si>
    <t>"CIF POWER CREAM" kuchni w sprayu. Pojemność 750 ml.</t>
  </si>
  <si>
    <t>"CIF STAL NIERDZEWNA" w sprayu. Pojemność 500 ml.</t>
  </si>
  <si>
    <t>"AJAX BAKING SODA" mleczko do czyszczenia,  do usuwania opornego brudu             i tłuszczu, nie rysując powierzchni. Mozliwość stosowania do wszystkich powierzchni emaliowanych, ceramicznych i chromowanych w kuchni i w łazience.Pojemność 700 ml.</t>
  </si>
  <si>
    <t>"AJAX" Lemon lub Fresh, proszek do czyszczenia do usuwania zaschniętego brudu i tłuszczu. Opakowanie 1 kg.</t>
  </si>
  <si>
    <t>"AJAX" Lemon lub Fresh, proszek do czyszczenia do usuwania zaschniętego brudu i tłuszczu. Opakowanie 0,5 kg.</t>
  </si>
  <si>
    <t>"PAN DIX" proszek do szorowania, skutecznie usuwający zabrudzenia. Opakowanie 0,5 kg.</t>
  </si>
  <si>
    <t>"IZO" proszek do czyszczenia z aktywnym tlenem skutecznie usuwający zabrudzenia, pozostawiający świeży zapach. Opakowanie 0,5 kg.</t>
  </si>
  <si>
    <t>"SKRZAT" mleczko do szorowania. Opakowanie 0,45 kg.</t>
  </si>
  <si>
    <t>"GOTIX" pasta do czyszenia urzadzeń sanitarnych. Opakowanie 300g.</t>
  </si>
  <si>
    <t>"SAMA" pasta do czyszczenia. Opakowanie 250 g.</t>
  </si>
  <si>
    <t>"YPLON" proszek do szorowania. Opakowanie 1 kg.</t>
  </si>
  <si>
    <t>"YPLON" płyn uniwersalny. Pojemność1 l.</t>
  </si>
  <si>
    <t>"YPLON" mleczko. Pojemność 1 l.</t>
  </si>
  <si>
    <t>"KRET" środek w granulkach zawierający substancje o działaniu przeciwbakteryjnym, stosowany do syfony zlewu, wanny lub muszli klozetowej. Pojemność 500 ml.</t>
  </si>
  <si>
    <t>"KRET" żel do udrażniania kanalizacji. Pojemność 500 ml.</t>
  </si>
  <si>
    <t>"IZO" odkamieniacz do urządzeń AGD do usuwania kamienia z elementów grzejnych. Saszetka 30 g.</t>
  </si>
  <si>
    <t>"FILIP" kamień i rdza. Pojemność 500 ml.</t>
  </si>
  <si>
    <t>"FILIP" mleczko do czyszczenia, usuwania brudu, tłuszczu i plam. Pojemność            700 ml.</t>
  </si>
  <si>
    <t>"CILIT kamień i rdza" żel do usuwania kamienia oraz rdzy ze zlewozmywaków, baterii łazienkowych i kuchennych, kabin prysznicowych. Pojemność 420 ml.</t>
  </si>
  <si>
    <t>"TERMAX żel Fresh" żel do usuwania przypaleń pochodzenia organicznego                   z patelni, rondli, garnków, piekarników, rusztów i innych powierzchni żaroodpornych, emaliowanych, ceramicznych i ze stali nierdzewnej. Pojemność 250 ml.</t>
  </si>
  <si>
    <t>"TERMAX żel fresh" żel do usuwania przypaleń pochodzenia organicznego                        z patelni, rondli, garnków, piekarników, rusztów i innych powierzchni żaroodpornych, emaliowanych, ceramicznych i ze stali nierdzewnej. Pojemność1 l.</t>
  </si>
  <si>
    <t>"E BOOM" spray  do usuwania przypalonego tłuszczu i brudu z  piekarników, kuchenek, okapów,  blachy do pieczenia, patelni i garnków,  blatów, stołów, zlewów, powierzchni chromowanych, lodówek. Pojemność 1 l.</t>
  </si>
  <si>
    <t>SIN-LUX płyn do mycia. Pojemność 600 ml.</t>
  </si>
  <si>
    <t>"ORO PERFEKT" preparat do usuwania pleśni z rozpylaczem. Pojemność 500 ml.</t>
  </si>
  <si>
    <t>Spray do odtłuszczania piekarników. Pojemność 500 ml.</t>
  </si>
  <si>
    <t>"E BOOM" preparat do usuwania kamienia, rdzy, pleśni i osadu. Pojemność 1 l.</t>
  </si>
  <si>
    <r>
      <t>VII.   PŁYNY, ŻELE,  KOSTKI do WC</t>
    </r>
    <r>
      <rPr>
        <b/>
        <sz val="13"/>
        <color indexed="10"/>
        <rFont val="Times New Roman"/>
        <family val="1"/>
      </rPr>
      <t xml:space="preserve"> - DELKO</t>
    </r>
  </si>
  <si>
    <r>
      <t>"DOMESTOS" chlorowy płyn do czyszczenia i dezynfekcji WC.                                   Pojemność 0,75 l</t>
    </r>
    <r>
      <rPr>
        <i/>
        <sz val="11"/>
        <rFont val="Times New Roman"/>
        <family val="1"/>
      </rPr>
      <t>.</t>
    </r>
  </si>
  <si>
    <r>
      <t xml:space="preserve">"SANSED" płyn do WC, nie zawiera chloru. Pojemność 500 g. </t>
    </r>
    <r>
      <rPr>
        <i/>
        <sz val="11"/>
        <rFont val="Times New Roman"/>
        <family val="1"/>
      </rPr>
      <t xml:space="preserve"> </t>
    </r>
  </si>
  <si>
    <t>"DOSIA" żel do WC. Pojemność 750 ml.</t>
  </si>
  <si>
    <t>"TYTAN" płyn do WC. Pojemność 700 ml.</t>
  </si>
  <si>
    <t>"CILIT" płyn do WC. Pojemność 450 ml lub 420 ml.</t>
  </si>
  <si>
    <t>"AJAX" żel do czyszczenia łazienek. Pojemność 500 ml.</t>
  </si>
  <si>
    <t>"AMBI-PUR" żel do WC.</t>
  </si>
  <si>
    <t>"BREF DUO-AKTIV" (odkamieniacz+wybielacz) żel do czyszczenia WC. Pojemność 750 ml.</t>
  </si>
  <si>
    <t>"BREF WC" żel Antibacterial H. Clean.</t>
  </si>
  <si>
    <t>"DR DEVIL" żel do WC. 400 ml z koszyczkiem.</t>
  </si>
  <si>
    <t>"DEVIL" żel do WC. Pojemność 40 ml.</t>
  </si>
  <si>
    <t>WC Hit Gel. Pojemność 750 g.</t>
  </si>
  <si>
    <t>LIZOL płyn dezynfekujący. Pojemność 0,5 l.</t>
  </si>
  <si>
    <t xml:space="preserve">Kostki zapachowe do pisuarów odświeżające i dezynfekujące </t>
  </si>
  <si>
    <t>WC kostka barwiąca (kostka do spłuczki) zapobiegająca odkładaniu się kamienia, dająca obfitą pianę, barwiąca wodę, wygodna w użyciu.</t>
  </si>
  <si>
    <t>Kostka zapachowa do WC  z zawiesiem  odświeżająca,  zapobiegająca  osadzaniu się kamienia, czyści, działająca antybakteryjnie.</t>
  </si>
  <si>
    <t>"DOMESTOS" kostka do WC odświeżająca,  w komplecie z koszyczkiem.</t>
  </si>
  <si>
    <t>"DOMESTOS" kostka do WC, zapas.</t>
  </si>
  <si>
    <t>"BREF DUO AKTIV" z koszyczkiem do WC, 60 ml.</t>
  </si>
  <si>
    <t>"BREF WC DUO-AKTIV" (kostki do WC z zapasem) o zapachu leśnym i morskim.</t>
  </si>
  <si>
    <t>"TOILET DUCK" wkłady żelowe do toalet bez zawieszki.</t>
  </si>
  <si>
    <t>"ACE" wybielacz do usuwania plam z tkanin białych, cytrynowy. Pojemność 1 l.</t>
  </si>
  <si>
    <t>"Hygilen" środek do pielęgnacji urządzeń sanitarnych, do rdzy, kaminia i brudu. Pojemność 1 l.</t>
  </si>
  <si>
    <t>"Kalcinex" odkamieniacz. Pojemność 1 l.</t>
  </si>
  <si>
    <t>"ULVIMA" zapach do toalet, Pojemność 1 l.</t>
  </si>
  <si>
    <r>
      <t xml:space="preserve">VIII.   MYDŁO TOALETOWE </t>
    </r>
    <r>
      <rPr>
        <b/>
        <sz val="13"/>
        <color indexed="10"/>
        <rFont val="Times New Roman"/>
        <family val="1"/>
      </rPr>
      <t>- DELKO</t>
    </r>
  </si>
  <si>
    <t>"ARKO" mydło w kostkach, nawilżające. Waga 100 g.</t>
  </si>
  <si>
    <t>"ARKO" mydło białe z wyciągiem z białek jedwabiu. Waga 100 g.</t>
  </si>
  <si>
    <t>Mydełko hotelowe Dallan. Waga 16 g.</t>
  </si>
  <si>
    <t>"FA" mydło w kostkach zawierające składniki regenerujące, chroni skórę przed przesuszeniem. Waga 100 g, różne kolory.</t>
  </si>
  <si>
    <t>"NIVEA" mydło krem-łagod.. Waga 100 g.</t>
  </si>
  <si>
    <t>Mydło w kostkach LUX, LUKSJA, waga 100 g.</t>
  </si>
  <si>
    <t>"PALMOLIVE" mydło w kostkach, białe. Waga 100 g.</t>
  </si>
  <si>
    <t>"PALMOLIVE" mydło w kostkach, do skóry suchej, o właściwościach nawilżających, regenerujących, z witaminą E i rumiankiem. Waga 100 g.</t>
  </si>
  <si>
    <t>Mydło w płynie białe. Pojemność 5 l.</t>
  </si>
  <si>
    <t>Mydło w pianie do dozowników.</t>
  </si>
  <si>
    <t>Szampon hotelowy Dallan. Waga 20 g.</t>
  </si>
  <si>
    <t>Mydło FP 10 działające profilaktycznie w zapobieganiu skażeniom bakteryjnym i grzybiczym,  do wstępnej dezynfekcji rąk. Pojemność 5 l.</t>
  </si>
  <si>
    <t>Mydło w płynie grapefruit. Pojemność 5 l.</t>
  </si>
  <si>
    <t>Mydło w płynie zielone jabłuszko. Pojemność 5 l.</t>
  </si>
  <si>
    <t>"FASHIONLINE" mydło w płynie białe, konwaliowe (płun do mycia ciała i włosów). Pojemność 5 l.</t>
  </si>
  <si>
    <t>"ON-LINE" mydło w płynie z dozownikiem. Pojemność 500 ml.</t>
  </si>
  <si>
    <t>"PALMOLIVE" mydło w płynie z dozownikiem do suchej skóry, o właściwościach nawilżających i regenerujących. Pojemność 300 ml.</t>
  </si>
  <si>
    <t>"PALMOLIVE" mydło w płynie, zapas.</t>
  </si>
  <si>
    <r>
      <t>IX.   PROSZKI DO PRANIA</t>
    </r>
    <r>
      <rPr>
        <b/>
        <sz val="13"/>
        <color indexed="10"/>
        <rFont val="Times New Roman"/>
        <family val="1"/>
      </rPr>
      <t xml:space="preserve"> - DELKO</t>
    </r>
  </si>
  <si>
    <t>"E" koncentrat do płukania. Pojemność 2 l.</t>
  </si>
  <si>
    <t>"GLOBAL" płyn do płukania tkanin. Pojemność 1 l.</t>
  </si>
  <si>
    <t>"COCOLINO" płun do płukania tkanin. Pojemność 1 l.</t>
  </si>
  <si>
    <t>"LENOR" płyn do płukania tkanin. Pojemność 1l.</t>
  </si>
  <si>
    <t>"SILAN" płyn do płukania tkanin. Pojemność 1l.</t>
  </si>
  <si>
    <t>"PERWOLL BLACK MAGIC" płyn do prania delikatnych tkanin. Pojemność 1 l.</t>
  </si>
  <si>
    <t>"OMO color" proszek do prania tkanin kolorowych. Opakowanie 2 kg.</t>
  </si>
  <si>
    <t>"ARIEL" do bieli lub kolor, proszek do prania. Opakowanie 2 kg.</t>
  </si>
  <si>
    <t>"BONUX" proszek do prania. Opakowanie 2 kg.</t>
  </si>
  <si>
    <t>"VIZIR" proszek do tkanin białych. Opakowanie 2 kg.</t>
  </si>
  <si>
    <t>"VIZIR" proszek do prania tkanin kolorowych. Opakowanie 2 kg.</t>
  </si>
  <si>
    <t>"E" proszek do prania. Opakowanie 3 kg.</t>
  </si>
  <si>
    <t>"PERSIL" proszek do prania biały. Opakowanie 3 kg.</t>
  </si>
  <si>
    <t>"PERSIL" proszek do prania kolor. Opakowanie 3 kg.</t>
  </si>
  <si>
    <t>"BRYZA" proszek do prania. Opakowanie 6 kg.</t>
  </si>
  <si>
    <t>"VIZIR" proszek do prania tkanin kolorowych. Opakowanie 400 g.</t>
  </si>
  <si>
    <t>"VIZIR" proszek do prania tkanin białych. Opakowanie 400 g.</t>
  </si>
  <si>
    <t>"VANISH OXI - ACT" uniwersalny odplamiacz do tkanin, zawierający aktywny tlen całkowicie usuwając plamy. Opakowanie 1 kg.</t>
  </si>
  <si>
    <t>"VANISH OXI-aktion" do białego. Opakowanie po 400g.</t>
  </si>
  <si>
    <t>"VANISH OXI-aktion" do koloru. Opakowanie po 400g.</t>
  </si>
  <si>
    <t>"VANISH" proszek do prania i wybielania firanek. Opakowanie po 400 g.</t>
  </si>
  <si>
    <t>"VANISH" płyn wybielający do płukania firanek. Pojemność 500 ml.</t>
  </si>
  <si>
    <t>"CALGON" środek do zmiękczania wody. Opakowanie 500g.</t>
  </si>
  <si>
    <t>"VANISH" płyn do prania dywanów. Pojemność 1 l.</t>
  </si>
  <si>
    <t>"VANISH" odplamiacz do dywanów i tapicerki (do usuwania plam z kawy, herbaty, czekolady, itp.)</t>
  </si>
  <si>
    <r>
      <t xml:space="preserve">X.   ŚRODKI DO MEBLI </t>
    </r>
    <r>
      <rPr>
        <b/>
        <sz val="13"/>
        <color indexed="10"/>
        <rFont val="Times New Roman"/>
        <family val="1"/>
      </rPr>
      <t>- DELKO</t>
    </r>
  </si>
  <si>
    <t>"PRONTO" środek do pielęgnacji mebli, niebieski (spray). Pojemność 250 ml.</t>
  </si>
  <si>
    <t>"SILUX" środek do pielegnacji mebli, antistatic, (spray). Pojemność 300 ml.</t>
  </si>
  <si>
    <t>"MEBLIT" emulsja do mebli. Pojemność 150 ml.</t>
  </si>
  <si>
    <r>
      <t xml:space="preserve">XI. ŚCIERKI, ZMYWAKI </t>
    </r>
    <r>
      <rPr>
        <b/>
        <sz val="13"/>
        <color indexed="10"/>
        <rFont val="Times New Roman"/>
        <family val="1"/>
      </rPr>
      <t>- VIRGO</t>
    </r>
  </si>
  <si>
    <t>Ścierka TETRA, obszyta, 70 x 80 cm.</t>
  </si>
  <si>
    <t>Ścierki do podłogi białe lub pomarańczowe, bawełniane, 73 x 53 cm.</t>
  </si>
  <si>
    <t>Ścierki do podłogi białe lub pomarańczowe, bawełniane, 70 x 100 cm.</t>
  </si>
  <si>
    <t>Ściereczki uniwersalne, 36 x 50 cm, opakowanie po 10 sztuk.</t>
  </si>
  <si>
    <t>Ścierka domowa, opakowanie po 3 sztuki.</t>
  </si>
  <si>
    <t>Ścierki do podłogi, flanelowe, duże, 50 x 80 cm.</t>
  </si>
  <si>
    <t>Ścierki do naczyń typu Morena, 380 x 380 mm. Opakowanie po 10 sztuk.</t>
  </si>
  <si>
    <t>Ścierki do mycia naczyń. Opakowanie po 5 sztuk.</t>
  </si>
  <si>
    <t>Ścierka mikrofaza, 32 x 32 cm (żółte).</t>
  </si>
  <si>
    <t xml:space="preserve">Ścierka mikrofaza, 40 x 40 cm. </t>
  </si>
  <si>
    <t>Ścierka ostra.</t>
  </si>
  <si>
    <t>Ścierka do podłogi, szara, 60 x 80 cm.</t>
  </si>
  <si>
    <t>Ścierki do naczyń "Prima". Opakowanie po 10 sztuk</t>
  </si>
  <si>
    <t>Druciak spiralny tradycyjny, opakowanie po 3 sztuki.</t>
  </si>
  <si>
    <t>Zmywak do naczyń gąbka, midi. Opakowanie po 10 sztuk.</t>
  </si>
  <si>
    <t>Zmywak do naczyń gąbka, duża. Opakowanie po 5 sztuk.</t>
  </si>
  <si>
    <t>Gąbka do naczyń PACLAN.</t>
  </si>
  <si>
    <t>Ścierka gąbczasta. Opakowanie po 3sztuki.</t>
  </si>
  <si>
    <t>Ścierka lniana kuchenna, do naczyń, 50 x 80 cm.</t>
  </si>
  <si>
    <t>Szczotka do rąk.</t>
  </si>
  <si>
    <r>
      <t>XII. WORKI NA ODPADY</t>
    </r>
    <r>
      <rPr>
        <b/>
        <sz val="13"/>
        <color indexed="10"/>
        <rFont val="Times New Roman"/>
        <family val="1"/>
      </rPr>
      <t xml:space="preserve"> - VIRGO</t>
    </r>
  </si>
  <si>
    <t>Worki na śmieci 35 l, czarne. Opakowanie po 50 sztuk.</t>
  </si>
  <si>
    <t>Worki na śmieci 35 l, niebieskie. Opakowanie po 30 sztuk.</t>
  </si>
  <si>
    <t>Worki na śmieci 120 l, grubsze, mocniejsze. Opakowanie po 50 sztuk.</t>
  </si>
  <si>
    <t>Worki na śmieci 70x110, 120 l, mocne.Opakowanie po 25 sztuk.</t>
  </si>
  <si>
    <t>Worki na śmieci 60 l, (60x80) niebieskie, mocne. Opakowanie po 30 sztuk.</t>
  </si>
  <si>
    <t>Worki na odpady 60 l. Czarne. Opakowanie po 50.</t>
  </si>
  <si>
    <r>
      <t xml:space="preserve">XIII. INNE </t>
    </r>
    <r>
      <rPr>
        <b/>
        <sz val="13"/>
        <color indexed="10"/>
        <rFont val="Times New Roman"/>
        <family val="1"/>
      </rPr>
      <t>- VIRGO</t>
    </r>
  </si>
  <si>
    <t>Krem glicerynowy do rąk. Tubka 75 g.</t>
  </si>
  <si>
    <t>Krem glicerynowy do rąk. Tubka 100 g.</t>
  </si>
  <si>
    <t>Krem do rąk "Glicea" cytrynowy, aloesowy. Tubka 75 ml.</t>
  </si>
  <si>
    <t>Krem do rąk "Cztery pory roku" glicerynowy z aloesem. Tubka 75 ml.</t>
  </si>
  <si>
    <t>"Nivea" krem do rąk.</t>
  </si>
  <si>
    <t>Rękawice gumowe gospodarcze różne rozmiary.</t>
  </si>
  <si>
    <t>Para</t>
  </si>
  <si>
    <t>Rękawice gumowe (małe) S</t>
  </si>
  <si>
    <t>Rękawice gumowe (średnie) M</t>
  </si>
  <si>
    <t xml:space="preserve">Rękawice gumowe (duże) L </t>
  </si>
  <si>
    <t>Rękawice lateksowe różne rozmiary. Opakowanie po 100 sztuk.</t>
  </si>
  <si>
    <t>Rękawice gumowe,  flokowane, średnie M</t>
  </si>
  <si>
    <t>Rękawice robocze drelichowo-skórzane.</t>
  </si>
  <si>
    <t>Rękawice typu wampirki.</t>
  </si>
  <si>
    <t>Mop  Super Mocio "Vileda"</t>
  </si>
  <si>
    <t xml:space="preserve">Mop do podłóg "Vileda" ultramax - zapas. </t>
  </si>
  <si>
    <t xml:space="preserve">Mop sznurek, maxi </t>
  </si>
  <si>
    <t>Mop sznurkowy, dł. 30 cm, 300 g.</t>
  </si>
  <si>
    <t>Mop sznurkowy, niebieski, średni, waga najmniej 200 g.</t>
  </si>
  <si>
    <t>Mop sznurowy (100% bawełna)średniej długości, gruby typu Tuttomp.</t>
  </si>
  <si>
    <t>Mopy bawełniane o długości 80cm – 100cm</t>
  </si>
  <si>
    <t>Stelaże do w/w mopów</t>
  </si>
  <si>
    <t>Szczotki do WC z pojemnikami (plastikowe), białe, kolorowe.</t>
  </si>
  <si>
    <t>Szczotki do zamiatania włosie sztuczne- plastik, 30 cm + kij wkręcany.</t>
  </si>
  <si>
    <t>Szczotka do zamiatania włosie naturalne drewno 30 cm.</t>
  </si>
  <si>
    <t>Szczotka do zamiatania włosie naturalne drewno 40 cm</t>
  </si>
  <si>
    <t>Kij do szczotki, plastikowy, 130 cm.</t>
  </si>
  <si>
    <t>Kij do szczotki –drewno wkręcany</t>
  </si>
  <si>
    <t xml:space="preserve">Kij do szczotki –drewno wbijany </t>
  </si>
  <si>
    <t>Kij do szczotki, drewniany, 130 cm.</t>
  </si>
  <si>
    <t>Szufelki plastikowe z gumką</t>
  </si>
  <si>
    <t>Zmiotka + szufelka z plastiku z gumką - komplet.</t>
  </si>
  <si>
    <t>Kosze na śmieci plastikowe, z otworami bez pokrywy (ażurowe)</t>
  </si>
  <si>
    <t>Kosze na śmieci z otworami bez pokrywy, 35 l.</t>
  </si>
  <si>
    <t>Kosz na śmieci z pokrywą, 10 l.</t>
  </si>
  <si>
    <t>Kosz na śmieci z ruchomą pokrywką, 10 l.</t>
  </si>
  <si>
    <t>Miska plastikowa 5 l.</t>
  </si>
  <si>
    <t>Miska okrągła, 18 l.</t>
  </si>
  <si>
    <t>Wiadra plastikowe, okrągłe, 12 l.</t>
  </si>
  <si>
    <t>Wiadra plastikowe, okrągłe, 12 l z pokrywką.</t>
  </si>
  <si>
    <t>Wiadro plastikowe okrągłe, 10 l  z pokrywką .</t>
  </si>
  <si>
    <t>Wiadro plastikowe, okrągłe, 10 l.</t>
  </si>
  <si>
    <t>Wiadro metalowe, 10 l.</t>
  </si>
  <si>
    <t>Wiadro z ociekarką, 12 l (żółte, niebieskie, zielone)</t>
  </si>
  <si>
    <t>Wiadro MOP z wyciskaczem (prostokątne).</t>
  </si>
  <si>
    <t>Wiadro MOP, pojemność 10 l.</t>
  </si>
  <si>
    <t>Pad ręczny, zielony</t>
  </si>
  <si>
    <t>Pad ręczny czarny do szorowania.</t>
  </si>
  <si>
    <t>Wkład SPEEDY 40 cm.</t>
  </si>
  <si>
    <t>Wkłady SPEEDY 50 cm (bawełna).</t>
  </si>
  <si>
    <t>Stelaż SPEEDY 50 cm.</t>
  </si>
  <si>
    <t>Pady do maszyny jedno tarczowej (FI16).</t>
  </si>
  <si>
    <t>Pady do maszyny jedno tarczowej (FI17).</t>
  </si>
  <si>
    <t>Szczotka do szkła laboratoryjnego o średnicy 10 mm, z pędzelkiem na końcu.</t>
  </si>
  <si>
    <t>Szczotka do szkła laboratoryjnego o średnicy 15 mm.</t>
  </si>
  <si>
    <t>Szczotka do szkła laboratoryjnego o średnicy 40 mm.</t>
  </si>
  <si>
    <t xml:space="preserve">Szczotki do mycia cylindrów długa. </t>
  </si>
  <si>
    <t>Szczotka do mycia pipet o średnicy 5 mm.</t>
  </si>
  <si>
    <t>Rękawice kwasoodporne mocne różne rozmiary</t>
  </si>
  <si>
    <t>Rękawice Superfood 174 Mapa Professionnel.</t>
  </si>
  <si>
    <t>Folia aluminiowa, 20 m. </t>
  </si>
  <si>
    <t xml:space="preserve"> Gąbka do tablicy na kredę zwykła </t>
  </si>
  <si>
    <t>Odświeżacz typu  BRISE ELECTRIC urządzenie +wkład</t>
  </si>
  <si>
    <t>Odświeżacz powietrza w żelu pozostawiający przyjemny zapach typu BRISE</t>
  </si>
  <si>
    <t>Odświeżacz powietrza BRISE, różne zapachy.</t>
  </si>
  <si>
    <t xml:space="preserve">Odświeżacz powietrza w żelu do pomieszczeń sanitarnych i korytarza. </t>
  </si>
  <si>
    <t>Oświerzacz powietrza BRISE ONE TOUCH, mini spray - morski, konwalia, egzotyczny.</t>
  </si>
  <si>
    <t>Odświerzacz powietrza w sprayu (kwiatowy lub przeciw nikotynowy).</t>
  </si>
  <si>
    <t xml:space="preserve">Odświeżacz BRISE ELECTRIC (wkład) </t>
  </si>
  <si>
    <t>BRISE ESSENSES (dyfuzor zapachu z wkładem).</t>
  </si>
  <si>
    <t>Wkład do dyfuzora Brise Electic, kwiatowy.</t>
  </si>
  <si>
    <t>Raid ELECTRIC urządzenie +wkład</t>
  </si>
  <si>
    <t>Pasta BHP do skutecznego usuwania zabrudzeń, nie powodująca nadmiernego wysuszania skóry rąk typu  BLACK OUT. Opakowanie 500 g.</t>
  </si>
  <si>
    <t>Pasta BHP mydlana do mycia rąk do lekkich zabrudzeń, nie powodująca podrażnień, ekologiczna. Opakowanie 500 g.</t>
  </si>
  <si>
    <t>Wkłady wymienne do filtrów BRITA Classic.</t>
  </si>
  <si>
    <t>Wkłady do filtra Britta typu Maxtra.</t>
  </si>
  <si>
    <t>Woreczki foliowe, 26x35. Opakowanie po 1000 sztuk.</t>
  </si>
  <si>
    <t>Woreczki foliowe, duże śniadaniowe. Opakowanie po 100 sztuk.</t>
  </si>
  <si>
    <t xml:space="preserve">Woreczki śniadaniowe, średnie. Opakowanie po 100 sztuk. </t>
  </si>
  <si>
    <t>Worki do odkurzacza ZELMER typ 1010-0030. Opakowanie po 5 sztuk.</t>
  </si>
  <si>
    <t>Worki papierowe do odkurzacza Elektrolux Z1027V</t>
  </si>
  <si>
    <t>Worki papierowe do odkurzacza Elektrolux E51N, opakowanie po 5 sztuk.</t>
  </si>
  <si>
    <t>Worki papierowe do odkurzacza Zelmer 1120.0.</t>
  </si>
  <si>
    <t>Worki papierowe do odkurzacza Karscher T191.</t>
  </si>
  <si>
    <t>Worki do odkurzacza Elektrolux new XIO.</t>
  </si>
  <si>
    <t>Worki papierowe do odkurzacza Zelmer "Cobra" typ IŻ-2000.</t>
  </si>
  <si>
    <t>Worki papierowe do odkurzacza Hoover typ H-125.</t>
  </si>
  <si>
    <t>Worki do odkurzacza Zelmer Odyssey. Opakowanie po 5 sztuk.</t>
  </si>
  <si>
    <t>Worki do odkurzacza Electrolux Ultrasilent. Opakowanie po 5 sztuk.</t>
  </si>
  <si>
    <t>Worki papierowe do odkurzacza Zelmer 2C10 Plus</t>
  </si>
  <si>
    <t>Worki  do odkurzacza ElektroluxXiO model Z1027 typ EBPO192. Opakowanie po 5 sztuk.</t>
  </si>
  <si>
    <t>Worki do odkurzacza Zelmer Elf typ 321. Opakowanie po 5 sztuk.</t>
  </si>
  <si>
    <t>Worki do odkurzacza Zelmer Explorer</t>
  </si>
  <si>
    <t>Worki do odkurzacza Zelmer Meteor</t>
  </si>
  <si>
    <t>Worki do odkurzacza Zelmer Meteor 2</t>
  </si>
  <si>
    <t>Worki do odkurzacza Philips Expression</t>
  </si>
  <si>
    <t>Worki do odkurzacza Elektrolux Clario</t>
  </si>
  <si>
    <t>Worki do odkurzacza Elektrolux Mondo</t>
  </si>
  <si>
    <t>Worki papierowe do odkurzacza ZELMER TYP 400.0.</t>
  </si>
  <si>
    <t>Worki papierowe do odkurzacza ZELMER TYP 1110-D</t>
  </si>
  <si>
    <t>Worki papierowe Numatik.</t>
  </si>
  <si>
    <t>Wata kosmetyczno-higieniczna</t>
  </si>
  <si>
    <t>Lignina</t>
  </si>
  <si>
    <t>Ssawki do odkurzacza KT 191.</t>
  </si>
  <si>
    <t>Szufla do odśnieżania metalowa z drewnianym trzonkiem</t>
  </si>
  <si>
    <t>Ulicznica z metalowym uchwytem, 50 cm.</t>
  </si>
  <si>
    <t>Tabletki biologiczne – do oczyszczalni ścieków. Opakowanie po 12 sztuk.</t>
  </si>
  <si>
    <t>Środek na mole w aerozolu min. 200 ml.</t>
  </si>
  <si>
    <t>Środek na mole wykładany – kostka.</t>
  </si>
  <si>
    <t>WYKAZ ASORTYMENTU ŚRODKÓW CZYSTOŚCI - CENNIK</t>
  </si>
  <si>
    <t>1</t>
  </si>
  <si>
    <t>2</t>
  </si>
  <si>
    <t>3</t>
  </si>
  <si>
    <t>4</t>
  </si>
  <si>
    <t>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</si>
</sst>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7"/>
      <name val="Times New Roman"/>
      <family val="1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0" fontId="20" fillId="20" borderId="10" xfId="0" applyFont="1" applyFill="1" applyBorder="1" applyAlignment="1">
      <alignment horizontal="center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 vertical="center" wrapText="1"/>
    </xf>
    <xf numFmtId="3" fontId="24" fillId="0" borderId="16" xfId="0" applyNumberFormat="1" applyFont="1" applyBorder="1" applyAlignment="1" applyProtection="1">
      <alignment horizontal="center" vertical="center" wrapText="1"/>
      <protection/>
    </xf>
    <xf numFmtId="2" fontId="24" fillId="0" borderId="16" xfId="0" applyNumberFormat="1" applyFont="1" applyBorder="1" applyAlignment="1" applyProtection="1">
      <alignment horizontal="center" vertical="center" wrapText="1"/>
      <protection/>
    </xf>
    <xf numFmtId="2" fontId="24" fillId="0" borderId="17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2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 applyProtection="1">
      <alignment horizontal="center" vertical="center" wrapText="1"/>
      <protection/>
    </xf>
    <xf numFmtId="2" fontId="24" fillId="0" borderId="2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 applyProtection="1">
      <alignment horizontal="center" vertical="center" wrapText="1"/>
      <protection/>
    </xf>
    <xf numFmtId="2" fontId="24" fillId="0" borderId="22" xfId="0" applyNumberFormat="1" applyFont="1" applyFill="1" applyBorder="1" applyAlignment="1" applyProtection="1">
      <alignment horizontal="center" vertical="center" wrapText="1"/>
      <protection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left" wrapText="1"/>
    </xf>
    <xf numFmtId="2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wrapText="1"/>
    </xf>
    <xf numFmtId="2" fontId="24" fillId="0" borderId="20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/>
    </xf>
    <xf numFmtId="0" fontId="24" fillId="0" borderId="22" xfId="0" applyFont="1" applyFill="1" applyBorder="1" applyAlignment="1">
      <alignment horizontal="left" wrapText="1"/>
    </xf>
    <xf numFmtId="3" fontId="24" fillId="0" borderId="23" xfId="0" applyNumberFormat="1" applyFont="1" applyBorder="1" applyAlignment="1" applyProtection="1">
      <alignment horizontal="center" vertical="center" wrapText="1"/>
      <protection/>
    </xf>
    <xf numFmtId="2" fontId="24" fillId="0" borderId="23" xfId="0" applyNumberFormat="1" applyFont="1" applyBorder="1" applyAlignment="1" applyProtection="1">
      <alignment horizontal="center" vertical="center" wrapText="1"/>
      <protection/>
    </xf>
    <xf numFmtId="3" fontId="24" fillId="0" borderId="14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 applyProtection="1">
      <alignment horizontal="center" vertical="center" wrapText="1"/>
      <protection/>
    </xf>
    <xf numFmtId="2" fontId="24" fillId="0" borderId="14" xfId="0" applyNumberFormat="1" applyFont="1" applyBorder="1" applyAlignment="1" applyProtection="1">
      <alignment horizontal="center" vertical="center" wrapText="1"/>
      <protection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wrapText="1"/>
    </xf>
    <xf numFmtId="3" fontId="24" fillId="0" borderId="22" xfId="0" applyNumberFormat="1" applyFont="1" applyBorder="1" applyAlignment="1" applyProtection="1">
      <alignment horizontal="center" vertical="center" wrapText="1"/>
      <protection/>
    </xf>
    <xf numFmtId="3" fontId="24" fillId="0" borderId="13" xfId="0" applyNumberFormat="1" applyFont="1" applyBorder="1" applyAlignment="1" applyProtection="1">
      <alignment horizontal="center" vertical="center" wrapText="1"/>
      <protection/>
    </xf>
    <xf numFmtId="2" fontId="24" fillId="0" borderId="19" xfId="0" applyNumberFormat="1" applyFont="1" applyBorder="1" applyAlignment="1" applyProtection="1">
      <alignment horizontal="center" vertical="center" wrapText="1"/>
      <protection/>
    </xf>
    <xf numFmtId="3" fontId="24" fillId="0" borderId="17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2" fontId="0" fillId="24" borderId="0" xfId="0" applyNumberFormat="1" applyFont="1" applyFill="1" applyAlignment="1">
      <alignment/>
    </xf>
    <xf numFmtId="2" fontId="24" fillId="0" borderId="16" xfId="0" applyNumberFormat="1" applyFont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3" fontId="24" fillId="0" borderId="12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wrapText="1"/>
    </xf>
    <xf numFmtId="3" fontId="24" fillId="0" borderId="19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wrapText="1"/>
    </xf>
    <xf numFmtId="2" fontId="24" fillId="0" borderId="16" xfId="0" applyNumberFormat="1" applyFont="1" applyFill="1" applyBorder="1" applyAlignment="1">
      <alignment horizontal="center" wrapText="1"/>
    </xf>
    <xf numFmtId="0" fontId="24" fillId="0" borderId="26" xfId="0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3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wrapText="1"/>
    </xf>
    <xf numFmtId="0" fontId="24" fillId="0" borderId="30" xfId="0" applyFont="1" applyFill="1" applyBorder="1" applyAlignment="1">
      <alignment horizontal="center" vertical="center" wrapText="1"/>
    </xf>
    <xf numFmtId="3" fontId="24" fillId="0" borderId="30" xfId="0" applyNumberFormat="1" applyFont="1" applyBorder="1" applyAlignment="1">
      <alignment horizontal="center" vertical="center" wrapText="1"/>
    </xf>
    <xf numFmtId="2" fontId="24" fillId="0" borderId="30" xfId="0" applyNumberFormat="1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wrapText="1"/>
    </xf>
    <xf numFmtId="2" fontId="26" fillId="0" borderId="31" xfId="0" applyNumberFormat="1" applyFont="1" applyFill="1" applyBorder="1" applyAlignment="1">
      <alignment wrapText="1"/>
    </xf>
    <xf numFmtId="0" fontId="19" fillId="0" borderId="0" xfId="0" applyFont="1" applyAlignment="1">
      <alignment horizontal="justify"/>
    </xf>
    <xf numFmtId="0" fontId="26" fillId="0" borderId="31" xfId="0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2" fontId="24" fillId="0" borderId="33" xfId="0" applyNumberFormat="1" applyFont="1" applyFill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horizontal="center"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2" fontId="24" fillId="0" borderId="38" xfId="0" applyNumberFormat="1" applyFont="1" applyFill="1" applyBorder="1" applyAlignment="1">
      <alignment horizontal="center" vertical="center" wrapText="1"/>
    </xf>
    <xf numFmtId="2" fontId="24" fillId="0" borderId="39" xfId="0" applyNumberFormat="1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 wrapText="1"/>
    </xf>
    <xf numFmtId="4" fontId="24" fillId="0" borderId="32" xfId="0" applyNumberFormat="1" applyFont="1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wrapText="1"/>
    </xf>
    <xf numFmtId="4" fontId="24" fillId="0" borderId="40" xfId="0" applyNumberFormat="1" applyFont="1" applyFill="1" applyBorder="1" applyAlignment="1">
      <alignment horizontal="center" wrapText="1"/>
    </xf>
    <xf numFmtId="2" fontId="24" fillId="0" borderId="4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1" fillId="20" borderId="42" xfId="0" applyFont="1" applyFill="1" applyBorder="1" applyAlignment="1">
      <alignment horizontal="center" wrapText="1"/>
    </xf>
    <xf numFmtId="0" fontId="21" fillId="20" borderId="4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1" fillId="20" borderId="44" xfId="0" applyFont="1" applyFill="1" applyBorder="1" applyAlignment="1">
      <alignment horizont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6.140625" style="0" customWidth="1"/>
    <col min="2" max="2" width="70.57421875" style="0" customWidth="1"/>
    <col min="3" max="3" width="16.57421875" style="0" customWidth="1"/>
    <col min="4" max="4" width="7.7109375" style="0" customWidth="1"/>
    <col min="5" max="5" width="17.28125" style="1" customWidth="1"/>
    <col min="6" max="6" width="17.7109375" style="0" customWidth="1"/>
    <col min="7" max="7" width="9.140625" style="2" customWidth="1"/>
    <col min="8" max="8" width="9.28125" style="0" customWidth="1"/>
  </cols>
  <sheetData>
    <row r="1" ht="18.75" customHeight="1">
      <c r="E1" s="3"/>
    </row>
    <row r="2" spans="1:6" ht="18.75">
      <c r="A2" s="123" t="s">
        <v>339</v>
      </c>
      <c r="B2" s="123"/>
      <c r="C2" s="123"/>
      <c r="D2" s="123"/>
      <c r="E2" s="123"/>
      <c r="F2" s="123"/>
    </row>
    <row r="3" ht="21" customHeight="1" thickBot="1"/>
    <row r="4" spans="1:6" ht="57" thickBo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</row>
    <row r="5" spans="1:6" ht="10.5" customHeight="1" thickBot="1">
      <c r="A5" s="128" t="s">
        <v>340</v>
      </c>
      <c r="B5" s="126" t="s">
        <v>341</v>
      </c>
      <c r="C5" s="126" t="s">
        <v>342</v>
      </c>
      <c r="D5" s="126" t="s">
        <v>343</v>
      </c>
      <c r="E5" s="127">
        <v>5</v>
      </c>
      <c r="F5" s="126" t="s">
        <v>344</v>
      </c>
    </row>
    <row r="6" spans="1:6" ht="17.25" customHeight="1">
      <c r="A6" s="124" t="s">
        <v>6</v>
      </c>
      <c r="B6" s="124"/>
      <c r="C6" s="124"/>
      <c r="D6" s="124"/>
      <c r="E6" s="124"/>
      <c r="F6" s="124"/>
    </row>
    <row r="7" spans="1:8" ht="30">
      <c r="A7" s="13">
        <v>1</v>
      </c>
      <c r="B7" s="14" t="s">
        <v>7</v>
      </c>
      <c r="C7" s="15" t="s">
        <v>8</v>
      </c>
      <c r="D7" s="73">
        <f>SUM(10+1+2+300+2+2+3+5+5+3+2+4+15+2+150+100+400+300+80+4+16+35+20+93+40+55+6+10+100+22+60+16+16+10)</f>
        <v>1889</v>
      </c>
      <c r="E7" s="77">
        <v>14.4</v>
      </c>
      <c r="F7" s="106">
        <v>17.57</v>
      </c>
      <c r="G7" s="12"/>
      <c r="H7" s="1"/>
    </row>
    <row r="8" spans="1:8" ht="15">
      <c r="A8" s="13">
        <v>2</v>
      </c>
      <c r="B8" s="14" t="s">
        <v>9</v>
      </c>
      <c r="C8" s="15" t="s">
        <v>10</v>
      </c>
      <c r="D8" s="16">
        <f>SUM(240+200+100+100+200+70+40+200+60+200+10+200+50+20+150+200+320+1000+80+2000+3200+100+320+80+2000+1200+300+240+1600+600+300+200+150+30+75+200+30+30+10)</f>
        <v>16105</v>
      </c>
      <c r="E8" s="17">
        <v>0.67</v>
      </c>
      <c r="F8" s="106">
        <v>0.82</v>
      </c>
      <c r="G8" s="12"/>
      <c r="H8" s="1"/>
    </row>
    <row r="9" spans="1:8" ht="30">
      <c r="A9" s="13">
        <v>3</v>
      </c>
      <c r="B9" s="14" t="s">
        <v>11</v>
      </c>
      <c r="C9" s="15" t="s">
        <v>12</v>
      </c>
      <c r="D9" s="16">
        <f>SUM(50+200+12+180+500+2720+1000+120+500+30+50+1000+1000+10+480)</f>
        <v>7852</v>
      </c>
      <c r="E9" s="17">
        <v>1.19</v>
      </c>
      <c r="F9" s="106">
        <v>1.45</v>
      </c>
      <c r="G9" s="12"/>
      <c r="H9" s="1"/>
    </row>
    <row r="10" spans="1:8" ht="29.25" customHeight="1">
      <c r="A10" s="13">
        <v>4</v>
      </c>
      <c r="B10" s="14" t="s">
        <v>13</v>
      </c>
      <c r="C10" s="15" t="s">
        <v>12</v>
      </c>
      <c r="D10" s="19">
        <f>SUM(360+150)</f>
        <v>510</v>
      </c>
      <c r="E10" s="20">
        <v>2.5</v>
      </c>
      <c r="F10" s="106">
        <v>3.05</v>
      </c>
      <c r="G10" s="12"/>
      <c r="H10" s="1"/>
    </row>
    <row r="11" spans="1:8" ht="30">
      <c r="A11" s="13">
        <v>5</v>
      </c>
      <c r="B11" s="14" t="s">
        <v>14</v>
      </c>
      <c r="C11" s="15" t="s">
        <v>12</v>
      </c>
      <c r="D11" s="19">
        <f>SUM(20+5)</f>
        <v>25</v>
      </c>
      <c r="E11" s="20">
        <v>2.5</v>
      </c>
      <c r="F11" s="106">
        <v>3.05</v>
      </c>
      <c r="G11" s="12"/>
      <c r="H11" s="1"/>
    </row>
    <row r="12" spans="1:8" ht="30">
      <c r="A12" s="13">
        <v>6</v>
      </c>
      <c r="B12" s="14" t="s">
        <v>15</v>
      </c>
      <c r="C12" s="15" t="s">
        <v>12</v>
      </c>
      <c r="D12" s="19">
        <f>SUM(8+10+20+6+40+3+6+4+3+4+1+2+4+4+3+5+12+15+40+60+250+20+280+300+100+30+60+40+12+80+100+1+15+4)</f>
        <v>1542</v>
      </c>
      <c r="E12" s="20">
        <v>28</v>
      </c>
      <c r="F12" s="106">
        <v>34.16</v>
      </c>
      <c r="G12" s="12"/>
      <c r="H12" s="1"/>
    </row>
    <row r="13" spans="1:8" ht="30">
      <c r="A13" s="13">
        <v>7</v>
      </c>
      <c r="B13" s="14" t="s">
        <v>16</v>
      </c>
      <c r="C13" s="15" t="s">
        <v>17</v>
      </c>
      <c r="D13" s="19">
        <f>SUM(2+500+6)</f>
        <v>508</v>
      </c>
      <c r="E13" s="20">
        <v>2</v>
      </c>
      <c r="F13" s="106">
        <v>2.44</v>
      </c>
      <c r="G13" s="12"/>
      <c r="H13" s="1"/>
    </row>
    <row r="14" spans="1:8" ht="30">
      <c r="A14" s="13">
        <v>8</v>
      </c>
      <c r="B14" s="14" t="s">
        <v>18</v>
      </c>
      <c r="C14" s="15" t="s">
        <v>12</v>
      </c>
      <c r="D14" s="19">
        <f>SUM(20+30+60+60+60+50+50+5+20+2+20+30+10+20+10+30+6+5+10+10+100+20+20+7+5+20+25+2+20+400+700+150+100+60+39+10+100+60+500+14+10+10+5+100+200+10+90+400+120+50+10+30+32+400+30+280+240+20+80+500+140+450+30+100+192+75+40+20+40+20)</f>
        <v>6584</v>
      </c>
      <c r="E14" s="20">
        <v>2.2</v>
      </c>
      <c r="F14" s="106">
        <v>2.68</v>
      </c>
      <c r="G14" s="12"/>
      <c r="H14" s="1"/>
    </row>
    <row r="15" spans="1:8" s="21" customFormat="1" ht="30">
      <c r="A15" s="13">
        <v>9</v>
      </c>
      <c r="B15" s="14" t="s">
        <v>19</v>
      </c>
      <c r="C15" s="15" t="s">
        <v>12</v>
      </c>
      <c r="D15" s="19">
        <v>200</v>
      </c>
      <c r="E15" s="20">
        <v>2.6</v>
      </c>
      <c r="F15" s="106">
        <v>3.17</v>
      </c>
      <c r="G15" s="12"/>
      <c r="H15" s="1"/>
    </row>
    <row r="16" spans="1:8" s="21" customFormat="1" ht="60">
      <c r="A16" s="13">
        <v>10</v>
      </c>
      <c r="B16" s="14" t="s">
        <v>20</v>
      </c>
      <c r="C16" s="15" t="s">
        <v>12</v>
      </c>
      <c r="D16" s="19">
        <v>800</v>
      </c>
      <c r="E16" s="20">
        <v>20</v>
      </c>
      <c r="F16" s="106">
        <v>24.4</v>
      </c>
      <c r="G16" s="12"/>
      <c r="H16" s="1"/>
    </row>
    <row r="17" spans="1:8" ht="15">
      <c r="A17" s="13">
        <v>11</v>
      </c>
      <c r="B17" s="14" t="s">
        <v>21</v>
      </c>
      <c r="C17" s="15" t="s">
        <v>10</v>
      </c>
      <c r="D17" s="19">
        <f>SUM(4)</f>
        <v>4</v>
      </c>
      <c r="E17" s="20">
        <v>30</v>
      </c>
      <c r="F17" s="106">
        <v>36.6</v>
      </c>
      <c r="G17" s="12"/>
      <c r="H17" s="1"/>
    </row>
    <row r="18" spans="1:8" ht="45">
      <c r="A18" s="22">
        <v>12</v>
      </c>
      <c r="B18" s="23" t="s">
        <v>22</v>
      </c>
      <c r="C18" s="24" t="s">
        <v>10</v>
      </c>
      <c r="D18" s="25">
        <v>4</v>
      </c>
      <c r="E18" s="20">
        <v>40</v>
      </c>
      <c r="F18" s="107">
        <v>48.8</v>
      </c>
      <c r="G18" s="12"/>
      <c r="H18" s="1"/>
    </row>
    <row r="19" spans="1:8" s="21" customFormat="1" ht="29.25" customHeight="1">
      <c r="A19" s="22">
        <v>13</v>
      </c>
      <c r="B19" s="27" t="s">
        <v>23</v>
      </c>
      <c r="C19" s="24" t="s">
        <v>12</v>
      </c>
      <c r="D19" s="25">
        <v>2</v>
      </c>
      <c r="E19" s="20">
        <v>2.3</v>
      </c>
      <c r="F19" s="107">
        <v>2.81</v>
      </c>
      <c r="G19" s="12"/>
      <c r="H19" s="1"/>
    </row>
    <row r="20" spans="1:8" s="21" customFormat="1" ht="15">
      <c r="A20" s="22">
        <v>14</v>
      </c>
      <c r="B20" s="28" t="s">
        <v>24</v>
      </c>
      <c r="C20" s="24" t="s">
        <v>25</v>
      </c>
      <c r="D20" s="29">
        <v>2</v>
      </c>
      <c r="E20" s="20">
        <v>2</v>
      </c>
      <c r="F20" s="107">
        <v>2.44</v>
      </c>
      <c r="G20" s="12"/>
      <c r="H20" s="1"/>
    </row>
    <row r="21" spans="1:8" s="21" customFormat="1" ht="15.75" thickBot="1">
      <c r="A21" s="30">
        <v>15</v>
      </c>
      <c r="B21" s="31" t="s">
        <v>26</v>
      </c>
      <c r="C21" s="32" t="s">
        <v>12</v>
      </c>
      <c r="D21" s="33">
        <v>2</v>
      </c>
      <c r="E21" s="34">
        <v>35</v>
      </c>
      <c r="F21" s="108">
        <v>42.7</v>
      </c>
      <c r="G21" s="12"/>
      <c r="H21" s="1"/>
    </row>
    <row r="22" spans="1:8" ht="17.25" customHeight="1" thickTop="1">
      <c r="A22" s="121" t="s">
        <v>27</v>
      </c>
      <c r="B22" s="121"/>
      <c r="C22" s="121"/>
      <c r="D22" s="121"/>
      <c r="E22" s="121"/>
      <c r="F22" s="121"/>
      <c r="G22" s="12"/>
      <c r="H22" s="1"/>
    </row>
    <row r="23" spans="1:8" ht="15">
      <c r="A23" s="6">
        <v>16</v>
      </c>
      <c r="B23" s="7" t="s">
        <v>28</v>
      </c>
      <c r="C23" s="8" t="s">
        <v>12</v>
      </c>
      <c r="D23" s="9">
        <f>SUM(2+10+1+1+1+5+6+5)</f>
        <v>31</v>
      </c>
      <c r="E23" s="35">
        <v>8</v>
      </c>
      <c r="F23" s="109">
        <v>9.76</v>
      </c>
      <c r="G23" s="12"/>
      <c r="H23" s="1"/>
    </row>
    <row r="24" spans="1:8" ht="30">
      <c r="A24" s="13">
        <v>17</v>
      </c>
      <c r="B24" s="14" t="s">
        <v>29</v>
      </c>
      <c r="C24" s="15" t="s">
        <v>12</v>
      </c>
      <c r="D24" s="16">
        <f>SUM(10+10+4+20+156+204+80+100+5+15+25+126)</f>
        <v>755</v>
      </c>
      <c r="E24" s="36">
        <v>3</v>
      </c>
      <c r="F24" s="106">
        <v>3.66</v>
      </c>
      <c r="G24" s="12"/>
      <c r="H24" s="1"/>
    </row>
    <row r="25" spans="1:8" ht="60">
      <c r="A25" s="6">
        <v>18</v>
      </c>
      <c r="B25" s="14" t="s">
        <v>30</v>
      </c>
      <c r="C25" s="15" t="s">
        <v>12</v>
      </c>
      <c r="D25" s="16">
        <f>SUM(60+1+14+2+40+10+80+10+12+20+1+6+5)</f>
        <v>261</v>
      </c>
      <c r="E25" s="36">
        <v>19</v>
      </c>
      <c r="F25" s="106">
        <v>23.18</v>
      </c>
      <c r="G25" s="12"/>
      <c r="H25" s="1"/>
    </row>
    <row r="26" spans="1:8" ht="15">
      <c r="A26" s="13">
        <v>19</v>
      </c>
      <c r="B26" s="14" t="s">
        <v>31</v>
      </c>
      <c r="C26" s="15" t="s">
        <v>12</v>
      </c>
      <c r="D26" s="16">
        <f>SUM(5+20+100+150+24+100+800+50+66+45+5+3+3+3+2)</f>
        <v>1376</v>
      </c>
      <c r="E26" s="36">
        <v>8</v>
      </c>
      <c r="F26" s="106">
        <v>9.76</v>
      </c>
      <c r="G26" s="12"/>
      <c r="H26" s="1"/>
    </row>
    <row r="27" spans="1:8" ht="45">
      <c r="A27" s="13">
        <v>20</v>
      </c>
      <c r="B27" s="37" t="s">
        <v>32</v>
      </c>
      <c r="C27" s="15" t="s">
        <v>12</v>
      </c>
      <c r="D27" s="19">
        <f>SUM(60+6+50+30+260+50+8+10+24+20+5+1+1+1)</f>
        <v>526</v>
      </c>
      <c r="E27" s="38">
        <v>33</v>
      </c>
      <c r="F27" s="106">
        <v>40.26</v>
      </c>
      <c r="G27" s="12"/>
      <c r="H27" s="1"/>
    </row>
    <row r="28" spans="1:8" ht="30">
      <c r="A28" s="6">
        <v>21</v>
      </c>
      <c r="B28" s="14" t="s">
        <v>33</v>
      </c>
      <c r="C28" s="15" t="s">
        <v>12</v>
      </c>
      <c r="D28" s="19">
        <f>SUM(6+5+5+100+2+2+2+24+30+90+150+100+160+150+150+204+166+80+100+12+60+50+50+80+50+50+52+50+10+4+80+5+5+5+2)</f>
        <v>2091</v>
      </c>
      <c r="E28" s="38">
        <v>5.4</v>
      </c>
      <c r="F28" s="125">
        <v>6.59</v>
      </c>
      <c r="G28" s="12"/>
      <c r="H28" s="1"/>
    </row>
    <row r="29" spans="1:8" ht="12.75" customHeight="1" hidden="1">
      <c r="A29" s="13">
        <v>22</v>
      </c>
      <c r="B29" s="14"/>
      <c r="C29" s="15" t="s">
        <v>34</v>
      </c>
      <c r="D29" s="19"/>
      <c r="E29" s="38"/>
      <c r="F29" s="125"/>
      <c r="G29" s="12"/>
      <c r="H29" s="1"/>
    </row>
    <row r="30" spans="1:8" ht="15.75" customHeight="1">
      <c r="A30" s="6">
        <v>22</v>
      </c>
      <c r="B30" s="14" t="s">
        <v>35</v>
      </c>
      <c r="C30" s="15" t="s">
        <v>12</v>
      </c>
      <c r="D30" s="19">
        <v>45</v>
      </c>
      <c r="E30" s="38">
        <v>45</v>
      </c>
      <c r="F30" s="106">
        <v>54.9</v>
      </c>
      <c r="G30" s="12"/>
      <c r="H30" s="1"/>
    </row>
    <row r="31" spans="1:8" ht="30">
      <c r="A31" s="13">
        <v>23</v>
      </c>
      <c r="B31" s="14" t="s">
        <v>36</v>
      </c>
      <c r="C31" s="15" t="s">
        <v>12</v>
      </c>
      <c r="D31" s="19">
        <f>SUM(4+20+60+100+20+10)</f>
        <v>214</v>
      </c>
      <c r="E31" s="38">
        <v>11</v>
      </c>
      <c r="F31" s="106">
        <v>13.42</v>
      </c>
      <c r="G31" s="12"/>
      <c r="H31" s="1"/>
    </row>
    <row r="32" spans="1:8" ht="15">
      <c r="A32" s="6">
        <v>24</v>
      </c>
      <c r="B32" s="39" t="s">
        <v>37</v>
      </c>
      <c r="C32" s="24" t="s">
        <v>17</v>
      </c>
      <c r="D32" s="16">
        <f>SUM(5+20+30+60+20)</f>
        <v>135</v>
      </c>
      <c r="E32" s="40">
        <v>5.5</v>
      </c>
      <c r="F32" s="107">
        <v>6.71</v>
      </c>
      <c r="G32" s="12"/>
      <c r="H32" s="1"/>
    </row>
    <row r="33" spans="1:8" ht="75">
      <c r="A33" s="13">
        <v>25</v>
      </c>
      <c r="B33" s="14" t="s">
        <v>38</v>
      </c>
      <c r="C33" s="15" t="s">
        <v>12</v>
      </c>
      <c r="D33" s="16">
        <f>SUM(2+1+156+50+6+12+25+6+6+6+2)</f>
        <v>272</v>
      </c>
      <c r="E33" s="17">
        <v>11</v>
      </c>
      <c r="F33" s="106">
        <v>13.42</v>
      </c>
      <c r="G33" s="12"/>
      <c r="H33" s="1"/>
    </row>
    <row r="34" spans="1:8" ht="45" customHeight="1">
      <c r="A34" s="13">
        <v>26</v>
      </c>
      <c r="B34" s="39" t="s">
        <v>39</v>
      </c>
      <c r="C34" s="24" t="s">
        <v>12</v>
      </c>
      <c r="D34" s="16">
        <f>SUM(8+5+5+5)</f>
        <v>23</v>
      </c>
      <c r="E34" s="17">
        <v>100</v>
      </c>
      <c r="F34" s="106">
        <v>122</v>
      </c>
      <c r="G34" s="12"/>
      <c r="H34" s="1"/>
    </row>
    <row r="35" spans="1:8" ht="15">
      <c r="A35" s="6">
        <v>27</v>
      </c>
      <c r="B35" s="39" t="s">
        <v>40</v>
      </c>
      <c r="C35" s="24" t="s">
        <v>12</v>
      </c>
      <c r="D35" s="16">
        <f>SUM(5)</f>
        <v>5</v>
      </c>
      <c r="E35" s="17">
        <v>120</v>
      </c>
      <c r="F35" s="106">
        <v>146.4</v>
      </c>
      <c r="G35" s="12"/>
      <c r="H35" s="1"/>
    </row>
    <row r="36" spans="1:8" ht="15">
      <c r="A36" s="13">
        <v>28</v>
      </c>
      <c r="B36" s="39" t="s">
        <v>41</v>
      </c>
      <c r="C36" s="24" t="s">
        <v>12</v>
      </c>
      <c r="D36" s="16">
        <f>SUM(6+5+6)</f>
        <v>17</v>
      </c>
      <c r="E36" s="17">
        <v>130</v>
      </c>
      <c r="F36" s="106">
        <v>158.6</v>
      </c>
      <c r="G36" s="12"/>
      <c r="H36" s="1"/>
    </row>
    <row r="37" spans="1:8" ht="15">
      <c r="A37" s="13">
        <v>29</v>
      </c>
      <c r="B37" s="39" t="s">
        <v>42</v>
      </c>
      <c r="C37" s="24" t="s">
        <v>12</v>
      </c>
      <c r="D37" s="16">
        <f>SUM(15+15+15+6+12+2)</f>
        <v>65</v>
      </c>
      <c r="E37" s="17">
        <v>55</v>
      </c>
      <c r="F37" s="106">
        <v>67.1</v>
      </c>
      <c r="G37" s="12"/>
      <c r="H37" s="1"/>
    </row>
    <row r="38" spans="1:8" ht="30">
      <c r="A38" s="6">
        <v>30</v>
      </c>
      <c r="B38" s="39" t="s">
        <v>43</v>
      </c>
      <c r="C38" s="24" t="s">
        <v>12</v>
      </c>
      <c r="D38" s="16">
        <f>SUM(6+2)</f>
        <v>8</v>
      </c>
      <c r="E38" s="17">
        <v>55</v>
      </c>
      <c r="F38" s="106">
        <v>67.1</v>
      </c>
      <c r="G38" s="12"/>
      <c r="H38" s="1"/>
    </row>
    <row r="39" spans="1:8" ht="15">
      <c r="A39" s="13">
        <v>31</v>
      </c>
      <c r="B39" s="41" t="s">
        <v>44</v>
      </c>
      <c r="C39" s="24" t="s">
        <v>12</v>
      </c>
      <c r="D39" s="25">
        <v>1</v>
      </c>
      <c r="E39" s="20">
        <v>150</v>
      </c>
      <c r="F39" s="107">
        <v>183</v>
      </c>
      <c r="G39" s="12"/>
      <c r="H39" s="1"/>
    </row>
    <row r="40" spans="1:8" ht="30">
      <c r="A40" s="6">
        <v>32</v>
      </c>
      <c r="B40" s="14" t="s">
        <v>45</v>
      </c>
      <c r="C40" s="24" t="s">
        <v>12</v>
      </c>
      <c r="D40" s="25">
        <f>SUM(200+120)</f>
        <v>320</v>
      </c>
      <c r="E40" s="20">
        <v>4.5</v>
      </c>
      <c r="F40" s="107">
        <v>5.49</v>
      </c>
      <c r="G40" s="12"/>
      <c r="H40" s="1"/>
    </row>
    <row r="41" spans="1:8" ht="15.75" thickBot="1">
      <c r="A41" s="30">
        <v>33</v>
      </c>
      <c r="B41" s="42" t="s">
        <v>46</v>
      </c>
      <c r="C41" s="32" t="s">
        <v>12</v>
      </c>
      <c r="D41" s="43">
        <f>SUM(50+5+6+6+2+2+1)</f>
        <v>72</v>
      </c>
      <c r="E41" s="44">
        <v>7.5</v>
      </c>
      <c r="F41" s="108">
        <v>9.15</v>
      </c>
      <c r="G41" s="12"/>
      <c r="H41" s="1"/>
    </row>
    <row r="42" spans="1:8" ht="17.25" customHeight="1" thickTop="1">
      <c r="A42" s="121" t="s">
        <v>47</v>
      </c>
      <c r="B42" s="121"/>
      <c r="C42" s="121"/>
      <c r="D42" s="121"/>
      <c r="E42" s="121"/>
      <c r="F42" s="121"/>
      <c r="G42" s="12"/>
      <c r="H42" s="1"/>
    </row>
    <row r="43" spans="1:8" ht="30">
      <c r="A43" s="6">
        <v>34</v>
      </c>
      <c r="B43" s="7" t="s">
        <v>48</v>
      </c>
      <c r="C43" s="8" t="s">
        <v>12</v>
      </c>
      <c r="D43" s="45">
        <f>SUM(10+200+100+50+50+100+200+15)</f>
        <v>725</v>
      </c>
      <c r="E43" s="46">
        <v>3.1</v>
      </c>
      <c r="F43" s="109">
        <v>3.78</v>
      </c>
      <c r="G43" s="12"/>
      <c r="H43" s="1"/>
    </row>
    <row r="44" spans="1:8" ht="15">
      <c r="A44" s="6">
        <v>35</v>
      </c>
      <c r="B44" s="7" t="s">
        <v>49</v>
      </c>
      <c r="C44" s="8" t="s">
        <v>12</v>
      </c>
      <c r="D44" s="47">
        <f>SUM(250)</f>
        <v>250</v>
      </c>
      <c r="E44" s="48">
        <v>3.9</v>
      </c>
      <c r="F44" s="109">
        <v>4.76</v>
      </c>
      <c r="G44" s="12"/>
      <c r="H44" s="1"/>
    </row>
    <row r="45" spans="1:8" ht="15">
      <c r="A45" s="13">
        <v>36</v>
      </c>
      <c r="B45" s="41" t="s">
        <v>50</v>
      </c>
      <c r="C45" s="49" t="s">
        <v>12</v>
      </c>
      <c r="D45" s="47">
        <f>SUM(30+100+50+200+100)</f>
        <v>480</v>
      </c>
      <c r="E45" s="48">
        <v>7</v>
      </c>
      <c r="F45" s="110">
        <v>8.54</v>
      </c>
      <c r="G45" s="12"/>
      <c r="H45" s="1"/>
    </row>
    <row r="46" spans="1:8" ht="15">
      <c r="A46" s="6">
        <v>37</v>
      </c>
      <c r="B46" s="41" t="s">
        <v>51</v>
      </c>
      <c r="C46" s="49" t="s">
        <v>12</v>
      </c>
      <c r="D46" s="47">
        <f>SUM(250+500)</f>
        <v>750</v>
      </c>
      <c r="E46" s="48">
        <v>5</v>
      </c>
      <c r="F46" s="110">
        <v>6.1</v>
      </c>
      <c r="G46" s="12"/>
      <c r="H46" s="1"/>
    </row>
    <row r="47" spans="1:8" ht="30">
      <c r="A47" s="6">
        <v>38</v>
      </c>
      <c r="B47" s="14" t="s">
        <v>52</v>
      </c>
      <c r="C47" s="15" t="s">
        <v>12</v>
      </c>
      <c r="D47" s="47">
        <f>SUM(6+50+500+300+120+50+300+500+60)</f>
        <v>1886</v>
      </c>
      <c r="E47" s="48">
        <v>4.4</v>
      </c>
      <c r="F47" s="106">
        <v>5.37</v>
      </c>
      <c r="G47" s="12"/>
      <c r="H47" s="1"/>
    </row>
    <row r="48" spans="1:8" ht="30">
      <c r="A48" s="13">
        <v>39</v>
      </c>
      <c r="B48" s="14" t="s">
        <v>53</v>
      </c>
      <c r="C48" s="15" t="s">
        <v>12</v>
      </c>
      <c r="D48" s="47">
        <f>SUM(10+15+50+240+200+300+150+12+20+30+100+66+45+10+4+5+3+3+2)</f>
        <v>1265</v>
      </c>
      <c r="E48" s="48">
        <v>12.9</v>
      </c>
      <c r="F48" s="106">
        <v>15.74</v>
      </c>
      <c r="G48" s="12"/>
      <c r="H48" s="1"/>
    </row>
    <row r="49" spans="1:8" ht="15">
      <c r="A49" s="6">
        <v>40</v>
      </c>
      <c r="B49" s="14" t="s">
        <v>54</v>
      </c>
      <c r="C49" s="15" t="s">
        <v>12</v>
      </c>
      <c r="D49" s="25">
        <v>15</v>
      </c>
      <c r="E49" s="50">
        <v>3.74</v>
      </c>
      <c r="F49" s="106">
        <v>4.56</v>
      </c>
      <c r="G49" s="12"/>
      <c r="H49" s="1"/>
    </row>
    <row r="50" spans="1:8" ht="15">
      <c r="A50" s="6">
        <v>41</v>
      </c>
      <c r="B50" s="14" t="s">
        <v>55</v>
      </c>
      <c r="C50" s="15" t="s">
        <v>12</v>
      </c>
      <c r="D50" s="47">
        <f>SUM(30+10+5+120+150+120+480+150+40+140+66+45+100+2)</f>
        <v>1458</v>
      </c>
      <c r="E50" s="48">
        <v>3.8</v>
      </c>
      <c r="F50" s="106">
        <v>4.64</v>
      </c>
      <c r="G50" s="12"/>
      <c r="H50" s="1"/>
    </row>
    <row r="51" spans="1:8" ht="30">
      <c r="A51" s="13">
        <v>42</v>
      </c>
      <c r="B51" s="14" t="s">
        <v>56</v>
      </c>
      <c r="C51" s="15" t="s">
        <v>12</v>
      </c>
      <c r="D51" s="47">
        <f>SUM(5+4)</f>
        <v>9</v>
      </c>
      <c r="E51" s="48">
        <v>34</v>
      </c>
      <c r="F51" s="106">
        <v>41.48</v>
      </c>
      <c r="G51" s="12"/>
      <c r="H51" s="1"/>
    </row>
    <row r="52" spans="1:8" ht="30">
      <c r="A52" s="6">
        <v>43</v>
      </c>
      <c r="B52" s="14" t="s">
        <v>57</v>
      </c>
      <c r="C52" s="15" t="s">
        <v>12</v>
      </c>
      <c r="D52" s="47">
        <f>SUM(10+5+96+4+5+5)</f>
        <v>125</v>
      </c>
      <c r="E52" s="48">
        <v>34</v>
      </c>
      <c r="F52" s="106">
        <v>41.48</v>
      </c>
      <c r="G52" s="12"/>
      <c r="H52" s="1"/>
    </row>
    <row r="53" spans="1:8" ht="15">
      <c r="A53" s="6">
        <v>44</v>
      </c>
      <c r="B53" s="14" t="s">
        <v>58</v>
      </c>
      <c r="C53" s="15" t="s">
        <v>12</v>
      </c>
      <c r="D53" s="47">
        <f>SUM(5+96+4)</f>
        <v>105</v>
      </c>
      <c r="E53" s="48">
        <v>34</v>
      </c>
      <c r="F53" s="106">
        <v>41.48</v>
      </c>
      <c r="G53" s="12"/>
      <c r="H53" s="1"/>
    </row>
    <row r="54" spans="1:8" ht="30">
      <c r="A54" s="13">
        <v>45</v>
      </c>
      <c r="B54" s="39" t="s">
        <v>59</v>
      </c>
      <c r="C54" s="24" t="s">
        <v>12</v>
      </c>
      <c r="D54" s="51">
        <f>SUM(5+50+70+20+120+40+10+6+45)</f>
        <v>366</v>
      </c>
      <c r="E54" s="40">
        <v>9.2</v>
      </c>
      <c r="F54" s="107">
        <v>11.22</v>
      </c>
      <c r="G54" s="12"/>
      <c r="H54" s="1"/>
    </row>
    <row r="55" spans="1:8" ht="17.25" customHeight="1">
      <c r="A55" s="122" t="s">
        <v>60</v>
      </c>
      <c r="B55" s="122"/>
      <c r="C55" s="122"/>
      <c r="D55" s="122"/>
      <c r="E55" s="122"/>
      <c r="F55" s="122"/>
      <c r="G55" s="12"/>
      <c r="H55" s="1"/>
    </row>
    <row r="56" spans="1:8" ht="15">
      <c r="A56" s="6">
        <v>46</v>
      </c>
      <c r="B56" s="7" t="s">
        <v>61</v>
      </c>
      <c r="C56" s="8" t="s">
        <v>12</v>
      </c>
      <c r="D56" s="45">
        <f>SUM(5+6+2+6+10+10)</f>
        <v>39</v>
      </c>
      <c r="E56" s="46">
        <v>5</v>
      </c>
      <c r="F56" s="109">
        <v>6.1</v>
      </c>
      <c r="G56" s="12"/>
      <c r="H56" s="1"/>
    </row>
    <row r="57" spans="1:8" ht="15">
      <c r="A57" s="13">
        <v>47</v>
      </c>
      <c r="B57" s="14" t="s">
        <v>62</v>
      </c>
      <c r="C57" s="15" t="s">
        <v>12</v>
      </c>
      <c r="D57" s="47">
        <f>SUM(5+50+10+20)</f>
        <v>85</v>
      </c>
      <c r="E57" s="48">
        <v>6</v>
      </c>
      <c r="F57" s="106">
        <v>7.32</v>
      </c>
      <c r="G57" s="12"/>
      <c r="H57" s="1"/>
    </row>
    <row r="58" spans="1:8" ht="15">
      <c r="A58" s="6">
        <v>48</v>
      </c>
      <c r="B58" s="14" t="s">
        <v>63</v>
      </c>
      <c r="C58" s="15" t="s">
        <v>12</v>
      </c>
      <c r="D58" s="47">
        <f>SUM(10+10+20+30+60+10)</f>
        <v>140</v>
      </c>
      <c r="E58" s="48">
        <v>2.2</v>
      </c>
      <c r="F58" s="106">
        <v>2.68</v>
      </c>
      <c r="G58" s="12"/>
      <c r="H58" s="1"/>
    </row>
    <row r="59" spans="1:8" ht="30" customHeight="1">
      <c r="A59" s="13">
        <v>49</v>
      </c>
      <c r="B59" s="52" t="s">
        <v>64</v>
      </c>
      <c r="C59" s="15" t="s">
        <v>12</v>
      </c>
      <c r="D59" s="47">
        <f>SUM(40+5+2+5+20+400+200+400+25+10+10+24+6+8)</f>
        <v>1155</v>
      </c>
      <c r="E59" s="48">
        <v>3.3</v>
      </c>
      <c r="F59" s="106">
        <v>4.03</v>
      </c>
      <c r="G59" s="12"/>
      <c r="H59" s="1"/>
    </row>
    <row r="60" spans="1:8" ht="30">
      <c r="A60" s="6">
        <v>50</v>
      </c>
      <c r="B60" s="14" t="s">
        <v>65</v>
      </c>
      <c r="C60" s="15" t="s">
        <v>12</v>
      </c>
      <c r="D60" s="47">
        <f>SUM(3+10+2+50)</f>
        <v>65</v>
      </c>
      <c r="E60" s="48">
        <v>3</v>
      </c>
      <c r="F60" s="106">
        <v>3.66</v>
      </c>
      <c r="G60" s="12"/>
      <c r="H60" s="1"/>
    </row>
    <row r="61" spans="1:8" ht="15">
      <c r="A61" s="13">
        <v>51</v>
      </c>
      <c r="B61" s="14" t="s">
        <v>66</v>
      </c>
      <c r="C61" s="15" t="s">
        <v>12</v>
      </c>
      <c r="D61" s="47">
        <f>SUM(40+230+20)</f>
        <v>290</v>
      </c>
      <c r="E61" s="17">
        <v>3</v>
      </c>
      <c r="F61" s="106">
        <v>3.66</v>
      </c>
      <c r="G61" s="12"/>
      <c r="H61" s="1"/>
    </row>
    <row r="62" spans="1:8" ht="30">
      <c r="A62" s="6">
        <v>52</v>
      </c>
      <c r="B62" s="14" t="s">
        <v>67</v>
      </c>
      <c r="C62" s="15" t="s">
        <v>12</v>
      </c>
      <c r="D62" s="47">
        <f>SUM(5+4)</f>
        <v>9</v>
      </c>
      <c r="E62" s="17">
        <v>5.5</v>
      </c>
      <c r="F62" s="106">
        <v>6.71</v>
      </c>
      <c r="G62" s="12"/>
      <c r="H62" s="1"/>
    </row>
    <row r="63" spans="1:8" ht="15">
      <c r="A63" s="13">
        <v>53</v>
      </c>
      <c r="B63" s="14" t="s">
        <v>68</v>
      </c>
      <c r="C63" s="15" t="s">
        <v>12</v>
      </c>
      <c r="D63" s="47">
        <f>SUM(2+1+30+3+2+2+5+4+30+120+600+20)</f>
        <v>819</v>
      </c>
      <c r="E63" s="17">
        <v>5.7</v>
      </c>
      <c r="F63" s="106">
        <v>6.95</v>
      </c>
      <c r="G63" s="12"/>
      <c r="H63" s="1"/>
    </row>
    <row r="64" spans="1:8" ht="15">
      <c r="A64" s="6">
        <v>54</v>
      </c>
      <c r="B64" s="14" t="s">
        <v>69</v>
      </c>
      <c r="C64" s="15" t="s">
        <v>12</v>
      </c>
      <c r="D64" s="47">
        <f>SUM(20+25)</f>
        <v>45</v>
      </c>
      <c r="E64" s="17">
        <v>4.9</v>
      </c>
      <c r="F64" s="106">
        <v>5.98</v>
      </c>
      <c r="G64" s="12"/>
      <c r="H64" s="1"/>
    </row>
    <row r="65" spans="1:8" ht="15">
      <c r="A65" s="13">
        <v>55</v>
      </c>
      <c r="B65" s="14" t="s">
        <v>70</v>
      </c>
      <c r="C65" s="15" t="s">
        <v>12</v>
      </c>
      <c r="D65" s="47">
        <f>SUM(5+1+30+6+2+1+2+50+150+120+130+110+230+50+40+100+60+30+40+20+20+40+2+2+2+1)</f>
        <v>1244</v>
      </c>
      <c r="E65" s="17">
        <v>5.4</v>
      </c>
      <c r="F65" s="106">
        <v>6.59</v>
      </c>
      <c r="G65" s="12"/>
      <c r="H65" s="1"/>
    </row>
    <row r="66" spans="1:8" ht="15">
      <c r="A66" s="6">
        <v>56</v>
      </c>
      <c r="B66" s="39" t="s">
        <v>71</v>
      </c>
      <c r="C66" s="24" t="s">
        <v>12</v>
      </c>
      <c r="D66" s="47">
        <f>SUM(5+6+20+200+60+80+120+60+50+24+40+4+4+2+3+3+2)</f>
        <v>683</v>
      </c>
      <c r="E66" s="17">
        <v>4.4</v>
      </c>
      <c r="F66" s="107">
        <v>5.37</v>
      </c>
      <c r="G66" s="12"/>
      <c r="H66" s="1"/>
    </row>
    <row r="67" spans="1:8" ht="15">
      <c r="A67" s="13">
        <v>57</v>
      </c>
      <c r="B67" s="39" t="s">
        <v>72</v>
      </c>
      <c r="C67" s="24" t="s">
        <v>12</v>
      </c>
      <c r="D67" s="25">
        <v>30</v>
      </c>
      <c r="E67" s="20">
        <v>5.8</v>
      </c>
      <c r="F67" s="107">
        <v>7.08</v>
      </c>
      <c r="G67" s="12"/>
      <c r="H67" s="1"/>
    </row>
    <row r="68" spans="1:8" ht="30.75" thickBot="1">
      <c r="A68" s="30">
        <v>58</v>
      </c>
      <c r="B68" s="53" t="s">
        <v>73</v>
      </c>
      <c r="C68" s="32" t="s">
        <v>12</v>
      </c>
      <c r="D68" s="54">
        <f>SUM(4+10+10+8+12+10)</f>
        <v>54</v>
      </c>
      <c r="E68" s="34">
        <v>21</v>
      </c>
      <c r="F68" s="108">
        <v>25.62</v>
      </c>
      <c r="G68" s="12"/>
      <c r="H68" s="1"/>
    </row>
    <row r="69" spans="1:8" ht="17.25" customHeight="1" thickTop="1">
      <c r="A69" s="121" t="s">
        <v>74</v>
      </c>
      <c r="B69" s="121"/>
      <c r="C69" s="121"/>
      <c r="D69" s="121"/>
      <c r="E69" s="121"/>
      <c r="F69" s="121"/>
      <c r="G69" s="12"/>
      <c r="H69" s="1"/>
    </row>
    <row r="70" spans="1:8" ht="15">
      <c r="A70" s="6">
        <v>59</v>
      </c>
      <c r="B70" s="7" t="s">
        <v>75</v>
      </c>
      <c r="C70" s="8" t="s">
        <v>12</v>
      </c>
      <c r="D70" s="45">
        <f>SUM(2+5)</f>
        <v>7</v>
      </c>
      <c r="E70" s="11">
        <v>320</v>
      </c>
      <c r="F70" s="109">
        <v>390.4</v>
      </c>
      <c r="G70" s="12"/>
      <c r="H70" s="1"/>
    </row>
    <row r="71" spans="1:8" ht="15">
      <c r="A71" s="13">
        <v>60</v>
      </c>
      <c r="B71" s="14" t="s">
        <v>76</v>
      </c>
      <c r="C71" s="15" t="s">
        <v>12</v>
      </c>
      <c r="D71" s="47">
        <f>SUM(60+1+3+4+5+1+2+15+5+1+2+2+2+30+65+300+120+150+150+120+60+100+6+150+200+144+250+100+30+5)</f>
        <v>2083</v>
      </c>
      <c r="E71" s="50">
        <v>3.65</v>
      </c>
      <c r="F71" s="106">
        <v>4.45</v>
      </c>
      <c r="G71" s="12"/>
      <c r="H71" s="1"/>
    </row>
    <row r="72" spans="1:8" ht="15">
      <c r="A72" s="6">
        <v>61</v>
      </c>
      <c r="B72" s="14" t="s">
        <v>77</v>
      </c>
      <c r="C72" s="15" t="s">
        <v>12</v>
      </c>
      <c r="D72" s="47">
        <f>SUM(6+10+5+5+5+3+3+2+1+50+10+2+8+2+2+1+8+3+10+6+10+3+1+1+2+2+2+2+4+100+40+30+1+6+14+8+20)</f>
        <v>388</v>
      </c>
      <c r="E72" s="50">
        <v>16</v>
      </c>
      <c r="F72" s="106">
        <v>19.52</v>
      </c>
      <c r="G72" s="12"/>
      <c r="H72" s="1"/>
    </row>
    <row r="73" spans="1:8" ht="15">
      <c r="A73" s="13">
        <v>62</v>
      </c>
      <c r="B73" s="14" t="s">
        <v>78</v>
      </c>
      <c r="C73" s="15" t="s">
        <v>12</v>
      </c>
      <c r="D73" s="47">
        <f>SUM(6+5+30+150+300+6+50+50+15)</f>
        <v>612</v>
      </c>
      <c r="E73" s="50">
        <v>2</v>
      </c>
      <c r="F73" s="106">
        <v>2.44</v>
      </c>
      <c r="G73" s="12"/>
      <c r="H73" s="1"/>
    </row>
    <row r="74" spans="1:8" ht="15">
      <c r="A74" s="6">
        <v>63</v>
      </c>
      <c r="B74" s="14" t="s">
        <v>79</v>
      </c>
      <c r="C74" s="15" t="s">
        <v>12</v>
      </c>
      <c r="D74" s="47">
        <f>SUM(4+10+6+5+60)</f>
        <v>85</v>
      </c>
      <c r="E74" s="50">
        <v>6</v>
      </c>
      <c r="F74" s="106">
        <v>7.32</v>
      </c>
      <c r="G74" s="12"/>
      <c r="H74" s="1"/>
    </row>
    <row r="75" spans="1:8" ht="15">
      <c r="A75" s="13">
        <v>64</v>
      </c>
      <c r="B75" s="14" t="s">
        <v>80</v>
      </c>
      <c r="C75" s="15" t="s">
        <v>12</v>
      </c>
      <c r="D75" s="47">
        <f>SUM(4+2+10+5+12+20+6+40+5+5+2)</f>
        <v>111</v>
      </c>
      <c r="E75" s="50">
        <v>6</v>
      </c>
      <c r="F75" s="106">
        <v>7.32</v>
      </c>
      <c r="G75" s="12"/>
      <c r="H75" s="1"/>
    </row>
    <row r="76" spans="1:8" ht="15">
      <c r="A76" s="6">
        <v>65</v>
      </c>
      <c r="B76" s="14" t="s">
        <v>81</v>
      </c>
      <c r="C76" s="15" t="s">
        <v>12</v>
      </c>
      <c r="D76" s="47">
        <f>SUM(2+10+50+12+40+3)</f>
        <v>117</v>
      </c>
      <c r="E76" s="50">
        <v>5</v>
      </c>
      <c r="F76" s="106">
        <v>6.1</v>
      </c>
      <c r="G76" s="12"/>
      <c r="H76" s="1"/>
    </row>
    <row r="77" spans="1:8" ht="15">
      <c r="A77" s="13">
        <v>66</v>
      </c>
      <c r="B77" s="14" t="s">
        <v>82</v>
      </c>
      <c r="C77" s="15" t="s">
        <v>12</v>
      </c>
      <c r="D77" s="47">
        <f>SUM(2+4)</f>
        <v>6</v>
      </c>
      <c r="E77" s="50">
        <v>150</v>
      </c>
      <c r="F77" s="106">
        <v>183</v>
      </c>
      <c r="G77" s="12"/>
      <c r="H77" s="1"/>
    </row>
    <row r="78" spans="1:8" ht="15">
      <c r="A78" s="6">
        <v>67</v>
      </c>
      <c r="B78" s="14" t="s">
        <v>83</v>
      </c>
      <c r="C78" s="15" t="s">
        <v>12</v>
      </c>
      <c r="D78" s="25">
        <f>SUM(10+2+10+5+10+1+5)</f>
        <v>43</v>
      </c>
      <c r="E78" s="50">
        <v>9</v>
      </c>
      <c r="F78" s="106">
        <v>10.98</v>
      </c>
      <c r="G78" s="12"/>
      <c r="H78" s="1"/>
    </row>
    <row r="79" spans="1:8" ht="15">
      <c r="A79" s="13">
        <v>68</v>
      </c>
      <c r="B79" s="14" t="s">
        <v>84</v>
      </c>
      <c r="C79" s="15" t="s">
        <v>12</v>
      </c>
      <c r="D79" s="25">
        <v>25</v>
      </c>
      <c r="E79" s="50">
        <v>28</v>
      </c>
      <c r="F79" s="106">
        <v>34.16</v>
      </c>
      <c r="G79" s="12"/>
      <c r="H79" s="1"/>
    </row>
    <row r="80" spans="1:8" ht="15">
      <c r="A80" s="6">
        <v>69</v>
      </c>
      <c r="B80" s="14" t="s">
        <v>85</v>
      </c>
      <c r="C80" s="15" t="s">
        <v>12</v>
      </c>
      <c r="D80" s="25">
        <f>SUM(20+2+7+5+10+12+10+4+4+5)</f>
        <v>79</v>
      </c>
      <c r="E80" s="50">
        <v>7.4</v>
      </c>
      <c r="F80" s="106">
        <v>9.03</v>
      </c>
      <c r="G80" s="12"/>
      <c r="H80" s="1"/>
    </row>
    <row r="81" spans="1:8" ht="15">
      <c r="A81" s="13">
        <v>70</v>
      </c>
      <c r="B81" s="14" t="s">
        <v>86</v>
      </c>
      <c r="C81" s="15" t="s">
        <v>12</v>
      </c>
      <c r="D81" s="25">
        <f>SUM(20+10+15+12+10+4)</f>
        <v>71</v>
      </c>
      <c r="E81" s="50">
        <v>16</v>
      </c>
      <c r="F81" s="106">
        <v>19.52</v>
      </c>
      <c r="G81" s="12"/>
      <c r="H81" s="1"/>
    </row>
    <row r="82" spans="1:8" ht="15">
      <c r="A82" s="6">
        <v>71</v>
      </c>
      <c r="B82" s="14" t="s">
        <v>87</v>
      </c>
      <c r="C82" s="15" t="s">
        <v>12</v>
      </c>
      <c r="D82" s="25">
        <f>SUM(1+5+2+10+4)</f>
        <v>22</v>
      </c>
      <c r="E82" s="50">
        <v>29</v>
      </c>
      <c r="F82" s="106">
        <v>35.38</v>
      </c>
      <c r="G82" s="12"/>
      <c r="H82" s="1"/>
    </row>
    <row r="83" spans="1:8" ht="15">
      <c r="A83" s="13">
        <v>72</v>
      </c>
      <c r="B83" s="14" t="s">
        <v>88</v>
      </c>
      <c r="C83" s="15" t="s">
        <v>25</v>
      </c>
      <c r="D83" s="25">
        <v>8</v>
      </c>
      <c r="E83" s="50">
        <v>16</v>
      </c>
      <c r="F83" s="106">
        <v>19.52</v>
      </c>
      <c r="G83" s="12"/>
      <c r="H83" s="1"/>
    </row>
    <row r="84" spans="1:8" ht="15">
      <c r="A84" s="6">
        <v>73</v>
      </c>
      <c r="B84" s="14" t="s">
        <v>89</v>
      </c>
      <c r="C84" s="15" t="s">
        <v>12</v>
      </c>
      <c r="D84" s="47">
        <f>SUM(5+10)</f>
        <v>15</v>
      </c>
      <c r="E84" s="48">
        <v>28</v>
      </c>
      <c r="F84" s="106">
        <v>34.16</v>
      </c>
      <c r="G84" s="12"/>
      <c r="H84" s="1"/>
    </row>
    <row r="85" spans="1:8" ht="15">
      <c r="A85" s="13">
        <v>74</v>
      </c>
      <c r="B85" s="14" t="s">
        <v>90</v>
      </c>
      <c r="C85" s="15" t="s">
        <v>12</v>
      </c>
      <c r="D85" s="47">
        <f>SUM(10+10)</f>
        <v>20</v>
      </c>
      <c r="E85" s="48">
        <v>14</v>
      </c>
      <c r="F85" s="106">
        <v>17.08</v>
      </c>
      <c r="G85" s="12"/>
      <c r="H85" s="1"/>
    </row>
    <row r="86" spans="1:8" ht="15">
      <c r="A86" s="6">
        <v>75</v>
      </c>
      <c r="B86" s="14" t="s">
        <v>91</v>
      </c>
      <c r="C86" s="15" t="s">
        <v>12</v>
      </c>
      <c r="D86" s="47">
        <f>SUM(10+4+2+10+10+5+5+1+120+80+60+160+100+40+72+40+5+50+20+2+14)</f>
        <v>810</v>
      </c>
      <c r="E86" s="48">
        <v>4</v>
      </c>
      <c r="F86" s="106">
        <v>4.88</v>
      </c>
      <c r="G86" s="12"/>
      <c r="H86" s="1"/>
    </row>
    <row r="87" spans="1:8" ht="15">
      <c r="A87" s="13">
        <v>76</v>
      </c>
      <c r="B87" s="39" t="s">
        <v>92</v>
      </c>
      <c r="C87" s="24" t="s">
        <v>12</v>
      </c>
      <c r="D87" s="47">
        <f>SUM(400+30+200+100)</f>
        <v>730</v>
      </c>
      <c r="E87" s="17">
        <v>0.5</v>
      </c>
      <c r="F87" s="107">
        <v>0.61</v>
      </c>
      <c r="G87" s="12"/>
      <c r="H87" s="1"/>
    </row>
    <row r="88" spans="1:8" ht="15">
      <c r="A88" s="6">
        <v>77</v>
      </c>
      <c r="B88" s="39" t="s">
        <v>93</v>
      </c>
      <c r="C88" s="24" t="s">
        <v>12</v>
      </c>
      <c r="D88" s="55">
        <f>SUM(400+100+150+400+100+100+40)</f>
        <v>1290</v>
      </c>
      <c r="E88" s="56">
        <v>0.5</v>
      </c>
      <c r="F88" s="107">
        <v>0.61</v>
      </c>
      <c r="G88" s="12"/>
      <c r="H88" s="1"/>
    </row>
    <row r="89" spans="1:8" ht="17.25" customHeight="1">
      <c r="A89" s="122" t="s">
        <v>94</v>
      </c>
      <c r="B89" s="122"/>
      <c r="C89" s="122"/>
      <c r="D89" s="122"/>
      <c r="E89" s="122"/>
      <c r="F89" s="122"/>
      <c r="G89" s="12"/>
      <c r="H89" s="1"/>
    </row>
    <row r="90" spans="1:8" ht="30">
      <c r="A90" s="6">
        <v>78</v>
      </c>
      <c r="B90" s="7" t="s">
        <v>95</v>
      </c>
      <c r="C90" s="8" t="s">
        <v>12</v>
      </c>
      <c r="D90" s="45">
        <f>SUM(5+1+2+50+1+5+2+2+15+3+1+5+2+1+2+4+5+20+130+60+66+60+10+30+5+5+2)</f>
        <v>494</v>
      </c>
      <c r="E90" s="46">
        <v>3.3</v>
      </c>
      <c r="F90" s="109">
        <v>4.03</v>
      </c>
      <c r="G90" s="12"/>
      <c r="H90" s="1"/>
    </row>
    <row r="91" spans="1:8" ht="15">
      <c r="A91" s="13">
        <v>79</v>
      </c>
      <c r="B91" s="14" t="s">
        <v>96</v>
      </c>
      <c r="C91" s="15" t="s">
        <v>12</v>
      </c>
      <c r="D91" s="57">
        <f>SUM(30+6+3+3+8+1+2+50+4+10+4+2+1+1+1+3+2+3+3+2+14+1+20+50+200+160+150+130+180+100+60+750+350+80+50+4+8+16)</f>
        <v>2462</v>
      </c>
      <c r="E91" s="58">
        <v>8</v>
      </c>
      <c r="F91" s="106">
        <v>9.76</v>
      </c>
      <c r="G91" s="12"/>
      <c r="H91" s="1"/>
    </row>
    <row r="92" spans="1:8" ht="15">
      <c r="A92" s="6">
        <v>80</v>
      </c>
      <c r="B92" s="14" t="s">
        <v>97</v>
      </c>
      <c r="C92" s="15" t="s">
        <v>12</v>
      </c>
      <c r="D92" s="57">
        <f>SUM(1+1)</f>
        <v>2</v>
      </c>
      <c r="E92" s="58">
        <v>3.5</v>
      </c>
      <c r="F92" s="106">
        <v>4.27</v>
      </c>
      <c r="G92" s="12"/>
      <c r="H92" s="1"/>
    </row>
    <row r="93" spans="1:8" ht="15">
      <c r="A93" s="13">
        <v>81</v>
      </c>
      <c r="B93" s="14" t="s">
        <v>98</v>
      </c>
      <c r="C93" s="15" t="s">
        <v>12</v>
      </c>
      <c r="D93" s="59">
        <v>40</v>
      </c>
      <c r="E93" s="18">
        <v>12.9</v>
      </c>
      <c r="F93" s="106">
        <v>15.74</v>
      </c>
      <c r="G93" s="12"/>
      <c r="H93" s="1"/>
    </row>
    <row r="94" spans="1:8" ht="15">
      <c r="A94" s="6">
        <v>82</v>
      </c>
      <c r="B94" s="14" t="s">
        <v>99</v>
      </c>
      <c r="C94" s="15" t="s">
        <v>12</v>
      </c>
      <c r="D94" s="59">
        <v>50</v>
      </c>
      <c r="E94" s="18">
        <v>12.9</v>
      </c>
      <c r="F94" s="106">
        <v>15.74</v>
      </c>
      <c r="G94" s="12"/>
      <c r="H94" s="1"/>
    </row>
    <row r="95" spans="1:8" ht="15">
      <c r="A95" s="13">
        <v>83</v>
      </c>
      <c r="B95" s="14" t="s">
        <v>100</v>
      </c>
      <c r="C95" s="15" t="s">
        <v>12</v>
      </c>
      <c r="D95" s="59">
        <v>50</v>
      </c>
      <c r="E95" s="18">
        <v>12.9</v>
      </c>
      <c r="F95" s="106">
        <v>15.74</v>
      </c>
      <c r="G95" s="12"/>
      <c r="H95" s="1"/>
    </row>
    <row r="96" spans="1:8" ht="15">
      <c r="A96" s="6">
        <v>84</v>
      </c>
      <c r="B96" s="14" t="s">
        <v>101</v>
      </c>
      <c r="C96" s="15" t="s">
        <v>12</v>
      </c>
      <c r="D96" s="59">
        <v>50</v>
      </c>
      <c r="E96" s="18">
        <v>12.9</v>
      </c>
      <c r="F96" s="106">
        <v>15.74</v>
      </c>
      <c r="G96" s="12"/>
      <c r="H96" s="1"/>
    </row>
    <row r="97" spans="1:8" ht="60">
      <c r="A97" s="13">
        <v>85</v>
      </c>
      <c r="B97" s="14" t="s">
        <v>102</v>
      </c>
      <c r="C97" s="15" t="s">
        <v>12</v>
      </c>
      <c r="D97" s="57">
        <f>SUM(3+1+10+2+10+5+2+60+30+10+30+20+40+30+4)</f>
        <v>257</v>
      </c>
      <c r="E97" s="58">
        <v>6.3</v>
      </c>
      <c r="F97" s="106">
        <v>7.69</v>
      </c>
      <c r="G97" s="12"/>
      <c r="H97" s="1"/>
    </row>
    <row r="98" spans="1:8" ht="30">
      <c r="A98" s="6">
        <v>86</v>
      </c>
      <c r="B98" s="14" t="s">
        <v>103</v>
      </c>
      <c r="C98" s="15" t="s">
        <v>12</v>
      </c>
      <c r="D98" s="57">
        <f>SUM(10+1+2+50+50+20+25+36+30+20)</f>
        <v>244</v>
      </c>
      <c r="E98" s="58">
        <v>5.8</v>
      </c>
      <c r="F98" s="106">
        <v>7.08</v>
      </c>
      <c r="G98" s="12"/>
      <c r="H98" s="1"/>
    </row>
    <row r="99" spans="1:8" ht="30">
      <c r="A99" s="13">
        <v>87</v>
      </c>
      <c r="B99" s="14" t="s">
        <v>104</v>
      </c>
      <c r="C99" s="15" t="s">
        <v>12</v>
      </c>
      <c r="D99" s="57">
        <f>SUM(2+4+10+100+130+100+40+60+80+60+30+50+150+12)</f>
        <v>828</v>
      </c>
      <c r="E99" s="58">
        <v>3.4</v>
      </c>
      <c r="F99" s="106">
        <v>4.15</v>
      </c>
      <c r="G99" s="12"/>
      <c r="H99" s="1"/>
    </row>
    <row r="100" spans="1:8" ht="30">
      <c r="A100" s="13">
        <v>88</v>
      </c>
      <c r="B100" s="14" t="s">
        <v>105</v>
      </c>
      <c r="C100" s="15" t="s">
        <v>12</v>
      </c>
      <c r="D100" s="66">
        <f>SUM(2+15)</f>
        <v>17</v>
      </c>
      <c r="E100" s="77">
        <v>1.65</v>
      </c>
      <c r="F100" s="106">
        <v>2.01</v>
      </c>
      <c r="G100" s="12"/>
      <c r="H100" s="1"/>
    </row>
    <row r="101" spans="1:8" ht="30">
      <c r="A101" s="13">
        <v>89</v>
      </c>
      <c r="B101" s="14" t="s">
        <v>106</v>
      </c>
      <c r="C101" s="15" t="s">
        <v>12</v>
      </c>
      <c r="D101" s="66">
        <f>SUM(10+1+60+10+20+20+10)</f>
        <v>131</v>
      </c>
      <c r="E101" s="77">
        <v>2.2</v>
      </c>
      <c r="F101" s="106">
        <v>2.68</v>
      </c>
      <c r="G101" s="12"/>
      <c r="H101" s="1"/>
    </row>
    <row r="102" spans="1:8" ht="15">
      <c r="A102" s="6">
        <v>90</v>
      </c>
      <c r="B102" s="14" t="s">
        <v>107</v>
      </c>
      <c r="C102" s="15" t="s">
        <v>12</v>
      </c>
      <c r="D102" s="57">
        <f>SUM(20+40+120+10+5+5+2)</f>
        <v>202</v>
      </c>
      <c r="E102" s="18">
        <v>2.5</v>
      </c>
      <c r="F102" s="106">
        <v>3.05</v>
      </c>
      <c r="G102" s="12"/>
      <c r="H102" s="1"/>
    </row>
    <row r="103" spans="1:8" ht="15">
      <c r="A103" s="13">
        <v>91</v>
      </c>
      <c r="B103" s="14" t="s">
        <v>108</v>
      </c>
      <c r="C103" s="15" t="s">
        <v>12</v>
      </c>
      <c r="D103" s="57">
        <f>SUM(72+20)</f>
        <v>92</v>
      </c>
      <c r="E103" s="58">
        <v>2.5</v>
      </c>
      <c r="F103" s="106">
        <v>3.05</v>
      </c>
      <c r="G103" s="12"/>
      <c r="H103" s="1"/>
    </row>
    <row r="104" spans="1:8" ht="15">
      <c r="A104" s="6">
        <v>92</v>
      </c>
      <c r="B104" s="14" t="s">
        <v>109</v>
      </c>
      <c r="C104" s="15" t="s">
        <v>12</v>
      </c>
      <c r="D104" s="57">
        <f>SUM(100+500+20)</f>
        <v>620</v>
      </c>
      <c r="E104" s="58">
        <v>2.4</v>
      </c>
      <c r="F104" s="106">
        <v>2.93</v>
      </c>
      <c r="G104" s="12"/>
      <c r="H104" s="1"/>
    </row>
    <row r="105" spans="1:8" ht="15">
      <c r="A105" s="13">
        <v>93</v>
      </c>
      <c r="B105" s="14" t="s">
        <v>110</v>
      </c>
      <c r="C105" s="15" t="s">
        <v>12</v>
      </c>
      <c r="D105" s="57">
        <f>SUM(1+200+100+50)</f>
        <v>351</v>
      </c>
      <c r="E105" s="58">
        <v>3.35</v>
      </c>
      <c r="F105" s="106">
        <v>4.09</v>
      </c>
      <c r="G105" s="12"/>
      <c r="H105" s="1"/>
    </row>
    <row r="106" spans="1:8" ht="15">
      <c r="A106" s="6">
        <v>94</v>
      </c>
      <c r="B106" s="14" t="s">
        <v>111</v>
      </c>
      <c r="C106" s="15" t="s">
        <v>12</v>
      </c>
      <c r="D106" s="57">
        <f>SUM(50+150+10)</f>
        <v>210</v>
      </c>
      <c r="E106" s="58">
        <v>3</v>
      </c>
      <c r="F106" s="106">
        <v>3.66</v>
      </c>
      <c r="G106" s="12"/>
      <c r="H106" s="1"/>
    </row>
    <row r="107" spans="1:8" ht="15">
      <c r="A107" s="13">
        <v>95</v>
      </c>
      <c r="B107" s="14" t="s">
        <v>112</v>
      </c>
      <c r="C107" s="15" t="s">
        <v>12</v>
      </c>
      <c r="D107" s="57">
        <f>SUM(20+200+100+50+10)</f>
        <v>380</v>
      </c>
      <c r="E107" s="58">
        <v>3.35</v>
      </c>
      <c r="F107" s="106">
        <v>4.09</v>
      </c>
      <c r="G107" s="12"/>
      <c r="H107" s="1"/>
    </row>
    <row r="108" spans="1:8" ht="45">
      <c r="A108" s="6">
        <v>96</v>
      </c>
      <c r="B108" s="14" t="s">
        <v>113</v>
      </c>
      <c r="C108" s="15" t="s">
        <v>12</v>
      </c>
      <c r="D108" s="57">
        <f>SUM(10+5+30+12+2+2+30+150+100+30+140+100+80+25+5+20+1+15+6+2+4+4+15)</f>
        <v>788</v>
      </c>
      <c r="E108" s="58">
        <v>5</v>
      </c>
      <c r="F108" s="106">
        <v>6.1</v>
      </c>
      <c r="G108" s="12"/>
      <c r="H108" s="1"/>
    </row>
    <row r="109" spans="1:8" ht="15">
      <c r="A109" s="13">
        <v>97</v>
      </c>
      <c r="B109" s="14" t="s">
        <v>114</v>
      </c>
      <c r="C109" s="15" t="s">
        <v>12</v>
      </c>
      <c r="D109" s="57">
        <f>SUM(5+5+2+1+1+3+10+100+60+20+10+40+30+4+50+50+60+100+20+36+30+20+1+10+6+4)</f>
        <v>678</v>
      </c>
      <c r="E109" s="58">
        <v>5.2</v>
      </c>
      <c r="F109" s="106">
        <v>6.34</v>
      </c>
      <c r="G109" s="12"/>
      <c r="H109" s="1"/>
    </row>
    <row r="110" spans="1:8" ht="30">
      <c r="A110" s="6">
        <v>98</v>
      </c>
      <c r="B110" s="14" t="s">
        <v>115</v>
      </c>
      <c r="C110" s="15" t="s">
        <v>12</v>
      </c>
      <c r="D110" s="62">
        <f>SUM(100+40+2+10+5)</f>
        <v>157</v>
      </c>
      <c r="E110" s="63">
        <v>2</v>
      </c>
      <c r="F110" s="106">
        <v>2.44</v>
      </c>
      <c r="G110" s="12"/>
      <c r="H110" s="1"/>
    </row>
    <row r="111" spans="1:8" ht="15">
      <c r="A111" s="13">
        <v>99</v>
      </c>
      <c r="B111" s="14" t="s">
        <v>116</v>
      </c>
      <c r="C111" s="15" t="s">
        <v>12</v>
      </c>
      <c r="D111" s="62">
        <f>SUM(100+40)</f>
        <v>140</v>
      </c>
      <c r="E111" s="63">
        <v>3.5</v>
      </c>
      <c r="F111" s="106">
        <v>4.27</v>
      </c>
      <c r="G111" s="12"/>
      <c r="H111" s="1"/>
    </row>
    <row r="112" spans="1:8" ht="30">
      <c r="A112" s="6">
        <v>100</v>
      </c>
      <c r="B112" s="14" t="s">
        <v>117</v>
      </c>
      <c r="C112" s="15" t="s">
        <v>12</v>
      </c>
      <c r="D112" s="62">
        <f>SUM(150+60)</f>
        <v>210</v>
      </c>
      <c r="E112" s="63">
        <v>2.2</v>
      </c>
      <c r="F112" s="106">
        <v>2.68</v>
      </c>
      <c r="G112" s="12"/>
      <c r="H112" s="1"/>
    </row>
    <row r="113" spans="1:8" ht="30">
      <c r="A113" s="13">
        <v>101</v>
      </c>
      <c r="B113" s="14" t="s">
        <v>118</v>
      </c>
      <c r="C113" s="15" t="s">
        <v>12</v>
      </c>
      <c r="D113" s="62">
        <f>SUM(2+1+4+20+2+30+30+100+100+50+100+20+100+30+50+6+50+50+60+60+56+20+10+45+4+4+4)</f>
        <v>1008</v>
      </c>
      <c r="E113" s="63">
        <v>8.4</v>
      </c>
      <c r="F113" s="106">
        <v>10.25</v>
      </c>
      <c r="G113" s="12"/>
      <c r="H113" s="1"/>
    </row>
    <row r="114" spans="1:8" ht="61.5" customHeight="1">
      <c r="A114" s="6">
        <v>102</v>
      </c>
      <c r="B114" s="14" t="s">
        <v>119</v>
      </c>
      <c r="C114" s="15" t="s">
        <v>12</v>
      </c>
      <c r="D114" s="59">
        <f>SUM(10+1+10+40+45+10)</f>
        <v>116</v>
      </c>
      <c r="E114" s="18">
        <v>4</v>
      </c>
      <c r="F114" s="106">
        <v>4.88</v>
      </c>
      <c r="G114" s="12"/>
      <c r="H114" s="1"/>
    </row>
    <row r="115" spans="1:8" ht="46.5" customHeight="1">
      <c r="A115" s="13">
        <v>103</v>
      </c>
      <c r="B115" s="14" t="s">
        <v>120</v>
      </c>
      <c r="C115" s="15" t="s">
        <v>12</v>
      </c>
      <c r="D115" s="57">
        <f>SUM(4+18)</f>
        <v>22</v>
      </c>
      <c r="E115" s="58">
        <v>15</v>
      </c>
      <c r="F115" s="106">
        <v>18.3</v>
      </c>
      <c r="G115" s="12"/>
      <c r="H115" s="1"/>
    </row>
    <row r="116" spans="1:8" ht="45">
      <c r="A116" s="6">
        <v>104</v>
      </c>
      <c r="B116" s="14" t="s">
        <v>121</v>
      </c>
      <c r="C116" s="15" t="s">
        <v>12</v>
      </c>
      <c r="D116" s="59">
        <f>SUM(2+1+5+20+15+10)</f>
        <v>53</v>
      </c>
      <c r="E116" s="18">
        <v>5</v>
      </c>
      <c r="F116" s="106">
        <v>6.1</v>
      </c>
      <c r="G116" s="12"/>
      <c r="H116" s="1"/>
    </row>
    <row r="117" spans="1:8" ht="15">
      <c r="A117" s="13">
        <v>105</v>
      </c>
      <c r="B117" s="14" t="s">
        <v>122</v>
      </c>
      <c r="C117" s="24" t="s">
        <v>12</v>
      </c>
      <c r="D117" s="64">
        <v>150</v>
      </c>
      <c r="E117" s="26">
        <v>3.65</v>
      </c>
      <c r="F117" s="107">
        <v>4.45</v>
      </c>
      <c r="G117" s="12"/>
      <c r="H117" s="1"/>
    </row>
    <row r="118" spans="1:8" ht="30">
      <c r="A118" s="6">
        <v>106</v>
      </c>
      <c r="B118" s="14" t="s">
        <v>123</v>
      </c>
      <c r="C118" s="24" t="s">
        <v>12</v>
      </c>
      <c r="D118" s="64">
        <v>12</v>
      </c>
      <c r="E118" s="26">
        <v>9</v>
      </c>
      <c r="F118" s="107">
        <v>10.98</v>
      </c>
      <c r="G118" s="12"/>
      <c r="H118" s="1"/>
    </row>
    <row r="119" spans="1:8" ht="15">
      <c r="A119" s="13">
        <v>107</v>
      </c>
      <c r="B119" s="39" t="s">
        <v>124</v>
      </c>
      <c r="C119" s="24" t="s">
        <v>12</v>
      </c>
      <c r="D119" s="64">
        <f>SUM(10+5+120+6+6)</f>
        <v>147</v>
      </c>
      <c r="E119" s="26">
        <v>2.5</v>
      </c>
      <c r="F119" s="107">
        <v>3.05</v>
      </c>
      <c r="G119" s="12"/>
      <c r="H119" s="1"/>
    </row>
    <row r="120" spans="1:8" ht="36.75" customHeight="1" thickBot="1">
      <c r="A120" s="30">
        <v>108</v>
      </c>
      <c r="B120" s="53" t="s">
        <v>125</v>
      </c>
      <c r="C120" s="32" t="s">
        <v>12</v>
      </c>
      <c r="D120" s="60">
        <f>SUM(15+6+15)</f>
        <v>36</v>
      </c>
      <c r="E120" s="61">
        <v>5</v>
      </c>
      <c r="F120" s="108">
        <v>6.1</v>
      </c>
      <c r="G120" s="12"/>
      <c r="H120" s="1"/>
    </row>
    <row r="121" spans="1:8" ht="17.25" customHeight="1" thickTop="1">
      <c r="A121" s="121" t="s">
        <v>126</v>
      </c>
      <c r="B121" s="121"/>
      <c r="C121" s="121"/>
      <c r="D121" s="121"/>
      <c r="E121" s="121"/>
      <c r="F121" s="121"/>
      <c r="G121" s="12"/>
      <c r="H121" s="1"/>
    </row>
    <row r="122" spans="1:8" ht="30">
      <c r="A122" s="6">
        <v>109</v>
      </c>
      <c r="B122" s="7" t="s">
        <v>127</v>
      </c>
      <c r="C122" s="8" t="s">
        <v>12</v>
      </c>
      <c r="D122" s="45">
        <f>SUM(10+4+7+1+1+200+2+5+2+2+2+1+2+4+26+20+20+50+160+180+312+130+210+204+150+80+100+12+60+50+550+150+120+350+15+60+20+100+20+30)</f>
        <v>3422</v>
      </c>
      <c r="E122" s="46">
        <v>6.5</v>
      </c>
      <c r="F122" s="109">
        <v>7.93</v>
      </c>
      <c r="G122" s="12"/>
      <c r="H122" s="1"/>
    </row>
    <row r="123" spans="1:8" ht="15">
      <c r="A123" s="13">
        <v>110</v>
      </c>
      <c r="B123" s="14" t="s">
        <v>128</v>
      </c>
      <c r="C123" s="15" t="s">
        <v>12</v>
      </c>
      <c r="D123" s="57">
        <f>SUM(10+30+130+204+200+120+300+1200+750+150+10)</f>
        <v>3104</v>
      </c>
      <c r="E123" s="58">
        <v>3.9</v>
      </c>
      <c r="F123" s="106">
        <v>4.76</v>
      </c>
      <c r="G123" s="12"/>
      <c r="H123" s="1"/>
    </row>
    <row r="124" spans="1:8" ht="15">
      <c r="A124" s="6">
        <v>111</v>
      </c>
      <c r="B124" s="14" t="s">
        <v>129</v>
      </c>
      <c r="C124" s="15" t="s">
        <v>12</v>
      </c>
      <c r="D124" s="57">
        <f>SUM(20+1+10+10)</f>
        <v>41</v>
      </c>
      <c r="E124" s="58">
        <v>3.3</v>
      </c>
      <c r="F124" s="106">
        <v>4.03</v>
      </c>
      <c r="G124" s="12"/>
      <c r="H124" s="1"/>
    </row>
    <row r="125" spans="1:8" ht="15">
      <c r="A125" s="13">
        <v>112</v>
      </c>
      <c r="B125" s="14" t="s">
        <v>130</v>
      </c>
      <c r="C125" s="15" t="s">
        <v>12</v>
      </c>
      <c r="D125" s="57">
        <f>SUM(3+20+5+27+160+100+180+100+12+50+30+36+50+150+280+40+20+20+10)</f>
        <v>1293</v>
      </c>
      <c r="E125" s="58">
        <v>3.7</v>
      </c>
      <c r="F125" s="106">
        <v>4.51</v>
      </c>
      <c r="G125" s="12"/>
      <c r="H125" s="1"/>
    </row>
    <row r="126" spans="1:8" ht="15">
      <c r="A126" s="6">
        <v>113</v>
      </c>
      <c r="B126" s="14" t="s">
        <v>131</v>
      </c>
      <c r="C126" s="15" t="s">
        <v>12</v>
      </c>
      <c r="D126" s="57">
        <f>SUM(20+30+100+100+60+50+40)</f>
        <v>400</v>
      </c>
      <c r="E126" s="58">
        <v>5.7</v>
      </c>
      <c r="F126" s="106">
        <v>6.95</v>
      </c>
      <c r="G126" s="12"/>
      <c r="H126" s="1"/>
    </row>
    <row r="127" spans="1:8" ht="15">
      <c r="A127" s="13">
        <v>114</v>
      </c>
      <c r="B127" s="14" t="s">
        <v>132</v>
      </c>
      <c r="C127" s="15" t="s">
        <v>12</v>
      </c>
      <c r="D127" s="57">
        <f>SUM(50+5+2+10+30+40+40+66+40+6+2+25)</f>
        <v>316</v>
      </c>
      <c r="E127" s="58">
        <v>4.6</v>
      </c>
      <c r="F127" s="106">
        <v>5.61</v>
      </c>
      <c r="G127" s="12"/>
      <c r="H127" s="1"/>
    </row>
    <row r="128" spans="1:8" ht="15">
      <c r="A128" s="6">
        <v>115</v>
      </c>
      <c r="B128" s="14" t="s">
        <v>133</v>
      </c>
      <c r="C128" s="15" t="s">
        <v>12</v>
      </c>
      <c r="D128" s="57">
        <f>SUM(20+20)</f>
        <v>40</v>
      </c>
      <c r="E128" s="58">
        <v>5</v>
      </c>
      <c r="F128" s="106">
        <v>6.1</v>
      </c>
      <c r="G128" s="12"/>
      <c r="H128" s="1"/>
    </row>
    <row r="129" spans="1:8" ht="30" customHeight="1">
      <c r="A129" s="13">
        <v>116</v>
      </c>
      <c r="B129" s="65" t="s">
        <v>134</v>
      </c>
      <c r="C129" s="15" t="s">
        <v>12</v>
      </c>
      <c r="D129" s="57">
        <f>SUM(3+4+10+78+60+20+40+36+10+20+30)</f>
        <v>311</v>
      </c>
      <c r="E129" s="58">
        <v>4.8</v>
      </c>
      <c r="F129" s="106">
        <v>5.86</v>
      </c>
      <c r="G129" s="12"/>
      <c r="H129" s="1"/>
    </row>
    <row r="130" spans="1:8" ht="15">
      <c r="A130" s="6">
        <v>117</v>
      </c>
      <c r="B130" s="14" t="s">
        <v>135</v>
      </c>
      <c r="C130" s="15" t="s">
        <v>12</v>
      </c>
      <c r="D130" s="57">
        <f>SUM(200+200+70)</f>
        <v>470</v>
      </c>
      <c r="E130" s="58">
        <v>4.4</v>
      </c>
      <c r="F130" s="106">
        <v>5.37</v>
      </c>
      <c r="G130" s="12"/>
      <c r="H130" s="1"/>
    </row>
    <row r="131" spans="1:8" ht="15">
      <c r="A131" s="13">
        <v>118</v>
      </c>
      <c r="B131" s="14" t="s">
        <v>136</v>
      </c>
      <c r="C131" s="15" t="s">
        <v>12</v>
      </c>
      <c r="D131" s="57">
        <f>SUM(20)</f>
        <v>20</v>
      </c>
      <c r="E131" s="58">
        <v>4.5</v>
      </c>
      <c r="F131" s="106">
        <v>5.49</v>
      </c>
      <c r="G131" s="12"/>
      <c r="H131" s="1"/>
    </row>
    <row r="132" spans="1:8" ht="15">
      <c r="A132" s="6">
        <v>119</v>
      </c>
      <c r="B132" s="14" t="s">
        <v>137</v>
      </c>
      <c r="C132" s="15" t="s">
        <v>12</v>
      </c>
      <c r="D132" s="57">
        <f>SUM(20)</f>
        <v>20</v>
      </c>
      <c r="E132" s="58">
        <v>3.5</v>
      </c>
      <c r="F132" s="106">
        <v>4.27</v>
      </c>
      <c r="G132" s="12"/>
      <c r="H132" s="1"/>
    </row>
    <row r="133" spans="1:8" ht="15">
      <c r="A133" s="13">
        <v>120</v>
      </c>
      <c r="B133" s="14" t="s">
        <v>138</v>
      </c>
      <c r="C133" s="15" t="s">
        <v>12</v>
      </c>
      <c r="D133" s="57">
        <f>SUM(20+25)</f>
        <v>45</v>
      </c>
      <c r="E133" s="58">
        <v>3.6</v>
      </c>
      <c r="F133" s="106">
        <v>4.39</v>
      </c>
      <c r="G133" s="12"/>
      <c r="H133" s="1"/>
    </row>
    <row r="134" spans="1:8" ht="15">
      <c r="A134" s="6">
        <v>121</v>
      </c>
      <c r="B134" s="14" t="s">
        <v>139</v>
      </c>
      <c r="C134" s="15" t="s">
        <v>12</v>
      </c>
      <c r="D134" s="57">
        <f>SUM(5+10)</f>
        <v>15</v>
      </c>
      <c r="E134" s="58">
        <v>1.7</v>
      </c>
      <c r="F134" s="106">
        <v>2.07</v>
      </c>
      <c r="G134" s="12"/>
      <c r="H134" s="1"/>
    </row>
    <row r="135" spans="1:8" ht="15">
      <c r="A135" s="13">
        <v>122</v>
      </c>
      <c r="B135" s="14" t="s">
        <v>140</v>
      </c>
      <c r="C135" s="15" t="s">
        <v>17</v>
      </c>
      <c r="D135" s="57">
        <f>SUM(20+300+800+360+400+800+200)</f>
        <v>2880</v>
      </c>
      <c r="E135" s="58">
        <v>0.45</v>
      </c>
      <c r="F135" s="106">
        <v>0.55</v>
      </c>
      <c r="G135" s="12"/>
      <c r="H135" s="1"/>
    </row>
    <row r="136" spans="1:8" ht="30">
      <c r="A136" s="6">
        <v>123</v>
      </c>
      <c r="B136" s="14" t="s">
        <v>141</v>
      </c>
      <c r="C136" s="15" t="s">
        <v>12</v>
      </c>
      <c r="D136" s="66">
        <f>SUM(20+100+50+30+40+100+20)</f>
        <v>360</v>
      </c>
      <c r="E136" s="58">
        <v>1.3</v>
      </c>
      <c r="F136" s="106">
        <v>1.59</v>
      </c>
      <c r="G136" s="12"/>
      <c r="H136" s="1"/>
    </row>
    <row r="137" spans="1:8" ht="30">
      <c r="A137" s="13">
        <v>124</v>
      </c>
      <c r="B137" s="14" t="s">
        <v>142</v>
      </c>
      <c r="C137" s="15" t="s">
        <v>12</v>
      </c>
      <c r="D137" s="66">
        <f>SUM(50+2+200+600+1000+400+60+100+50+100+50+10)</f>
        <v>2622</v>
      </c>
      <c r="E137" s="58">
        <v>0.67</v>
      </c>
      <c r="F137" s="106">
        <v>0.82</v>
      </c>
      <c r="G137" s="12"/>
      <c r="H137" s="1"/>
    </row>
    <row r="138" spans="1:8" ht="15">
      <c r="A138" s="6">
        <v>125</v>
      </c>
      <c r="B138" s="14" t="s">
        <v>143</v>
      </c>
      <c r="C138" s="15" t="s">
        <v>12</v>
      </c>
      <c r="D138" s="66">
        <f>SUM(10+10+55+5+12+1+50+30+24+30+50+20+5+40+40+20)</f>
        <v>402</v>
      </c>
      <c r="E138" s="58">
        <v>3</v>
      </c>
      <c r="F138" s="106">
        <v>3.66</v>
      </c>
      <c r="G138" s="12"/>
      <c r="H138" s="1"/>
    </row>
    <row r="139" spans="1:8" ht="15">
      <c r="A139" s="13">
        <v>126</v>
      </c>
      <c r="B139" s="14" t="s">
        <v>144</v>
      </c>
      <c r="C139" s="15" t="s">
        <v>12</v>
      </c>
      <c r="D139" s="66">
        <f>SUM(20+5+10+6+50+120+30+20+20+10)</f>
        <v>291</v>
      </c>
      <c r="E139" s="58">
        <v>2.4</v>
      </c>
      <c r="F139" s="106">
        <v>2.93</v>
      </c>
      <c r="G139" s="12"/>
      <c r="H139" s="1"/>
    </row>
    <row r="140" spans="1:8" ht="15">
      <c r="A140" s="6">
        <v>127</v>
      </c>
      <c r="B140" s="14" t="s">
        <v>145</v>
      </c>
      <c r="C140" s="15" t="s">
        <v>12</v>
      </c>
      <c r="D140" s="67">
        <f>SUM(5+5+100+480+40+80+20+12+12)</f>
        <v>754</v>
      </c>
      <c r="E140" s="68">
        <v>4.8</v>
      </c>
      <c r="F140" s="106">
        <v>5.86</v>
      </c>
      <c r="G140" s="12"/>
      <c r="H140" s="1"/>
    </row>
    <row r="141" spans="1:8" ht="30">
      <c r="A141" s="13">
        <v>128</v>
      </c>
      <c r="B141" s="14" t="s">
        <v>146</v>
      </c>
      <c r="C141" s="24" t="s">
        <v>12</v>
      </c>
      <c r="D141" s="69">
        <f>SUM(10+30+50+150+50+30+12+60)</f>
        <v>392</v>
      </c>
      <c r="E141" s="70">
        <v>2</v>
      </c>
      <c r="F141" s="107">
        <v>2.44</v>
      </c>
      <c r="G141" s="12"/>
      <c r="H141" s="1"/>
    </row>
    <row r="142" spans="1:8" ht="15">
      <c r="A142" s="6">
        <v>129</v>
      </c>
      <c r="B142" s="14" t="s">
        <v>147</v>
      </c>
      <c r="C142" s="24" t="s">
        <v>12</v>
      </c>
      <c r="D142" s="71">
        <f>SUM(200)</f>
        <v>200</v>
      </c>
      <c r="E142" s="72">
        <v>4.5</v>
      </c>
      <c r="F142" s="107">
        <v>5.49</v>
      </c>
      <c r="G142" s="12"/>
      <c r="H142" s="1"/>
    </row>
    <row r="143" spans="1:8" ht="15">
      <c r="A143" s="13">
        <v>130</v>
      </c>
      <c r="B143" s="39" t="s">
        <v>148</v>
      </c>
      <c r="C143" s="24" t="s">
        <v>12</v>
      </c>
      <c r="D143" s="73">
        <f>SUM(1+1+1+3+20+60+40+70+36+80+80+40+15)</f>
        <v>447</v>
      </c>
      <c r="E143" s="74">
        <v>4.5</v>
      </c>
      <c r="F143" s="107">
        <v>5.49</v>
      </c>
      <c r="G143" s="12"/>
      <c r="H143" s="1"/>
    </row>
    <row r="144" spans="1:8" ht="30">
      <c r="A144" s="6">
        <v>131</v>
      </c>
      <c r="B144" s="14" t="s">
        <v>149</v>
      </c>
      <c r="C144" s="15" t="s">
        <v>12</v>
      </c>
      <c r="D144" s="66">
        <f>SUM(4+12+20+10+15)</f>
        <v>61</v>
      </c>
      <c r="E144" s="58">
        <v>9</v>
      </c>
      <c r="F144" s="106">
        <v>10.98</v>
      </c>
      <c r="G144" s="12"/>
      <c r="H144" s="1"/>
    </row>
    <row r="145" spans="1:8" ht="15">
      <c r="A145" s="13">
        <v>132</v>
      </c>
      <c r="B145" s="39" t="s">
        <v>150</v>
      </c>
      <c r="C145" s="24" t="s">
        <v>12</v>
      </c>
      <c r="D145" s="75">
        <f>SUM(1+30+25+20+480+170+60+10+10)</f>
        <v>806</v>
      </c>
      <c r="E145" s="74">
        <v>16</v>
      </c>
      <c r="F145" s="107">
        <v>19.52</v>
      </c>
      <c r="G145" s="12"/>
      <c r="H145" s="1"/>
    </row>
    <row r="146" spans="1:8" ht="15">
      <c r="A146" s="6">
        <v>133</v>
      </c>
      <c r="B146" s="39" t="s">
        <v>151</v>
      </c>
      <c r="C146" s="24" t="s">
        <v>12</v>
      </c>
      <c r="D146" s="75">
        <f>SUM(2+120+20+5+15)</f>
        <v>162</v>
      </c>
      <c r="E146" s="74">
        <v>28</v>
      </c>
      <c r="F146" s="107">
        <v>34.16</v>
      </c>
      <c r="G146" s="12"/>
      <c r="H146" s="1"/>
    </row>
    <row r="147" spans="1:8" ht="17.25" customHeight="1">
      <c r="A147" s="122" t="s">
        <v>152</v>
      </c>
      <c r="B147" s="122"/>
      <c r="C147" s="122"/>
      <c r="D147" s="122"/>
      <c r="E147" s="122"/>
      <c r="F147" s="122"/>
      <c r="G147" s="12"/>
      <c r="H147" s="1"/>
    </row>
    <row r="148" spans="1:8" ht="15">
      <c r="A148" s="6">
        <v>134</v>
      </c>
      <c r="B148" s="7" t="s">
        <v>153</v>
      </c>
      <c r="C148" s="8" t="s">
        <v>12</v>
      </c>
      <c r="D148" s="45">
        <f>SUM(1000+10+20+5+10+30+15+6+66+25+12+350+80+150+50+30+100+75+32+25+25+10)</f>
        <v>2126</v>
      </c>
      <c r="E148" s="46">
        <v>0.9</v>
      </c>
      <c r="F148" s="109">
        <v>1.1</v>
      </c>
      <c r="G148" s="12"/>
      <c r="H148" s="1"/>
    </row>
    <row r="149" spans="1:8" ht="15">
      <c r="A149" s="6">
        <v>135</v>
      </c>
      <c r="B149" s="7" t="s">
        <v>154</v>
      </c>
      <c r="C149" s="8" t="s">
        <v>12</v>
      </c>
      <c r="D149" s="45">
        <f>SUM(30+18+20+40+150+60+79+198)</f>
        <v>595</v>
      </c>
      <c r="E149" s="46">
        <v>1.1</v>
      </c>
      <c r="F149" s="109">
        <v>1.34</v>
      </c>
      <c r="G149" s="12"/>
      <c r="H149" s="1"/>
    </row>
    <row r="150" spans="1:8" ht="15">
      <c r="A150" s="6">
        <v>136</v>
      </c>
      <c r="B150" s="14" t="s">
        <v>155</v>
      </c>
      <c r="C150" s="15" t="s">
        <v>12</v>
      </c>
      <c r="D150" s="57">
        <f>SUM(200+100)</f>
        <v>300</v>
      </c>
      <c r="E150" s="58">
        <v>0.26</v>
      </c>
      <c r="F150" s="106">
        <v>0.32</v>
      </c>
      <c r="G150" s="12"/>
      <c r="H150" s="76"/>
    </row>
    <row r="151" spans="1:8" ht="30">
      <c r="A151" s="6">
        <v>137</v>
      </c>
      <c r="B151" s="39" t="s">
        <v>156</v>
      </c>
      <c r="C151" s="24" t="s">
        <v>12</v>
      </c>
      <c r="D151" s="73">
        <f>SUM(20+20+20)</f>
        <v>60</v>
      </c>
      <c r="E151" s="74">
        <v>1.5</v>
      </c>
      <c r="F151" s="107">
        <v>1.83</v>
      </c>
      <c r="G151" s="12"/>
      <c r="H151" s="1"/>
    </row>
    <row r="152" spans="1:8" ht="15">
      <c r="A152" s="6">
        <v>138</v>
      </c>
      <c r="B152" s="14" t="s">
        <v>157</v>
      </c>
      <c r="C152" s="15" t="s">
        <v>12</v>
      </c>
      <c r="D152" s="66">
        <f>SUM(5+15+5+432+120+40+88+15)</f>
        <v>720</v>
      </c>
      <c r="E152" s="77">
        <v>2.4</v>
      </c>
      <c r="F152" s="106">
        <v>2.93</v>
      </c>
      <c r="G152" s="12"/>
      <c r="H152" s="1"/>
    </row>
    <row r="153" spans="1:8" ht="15">
      <c r="A153" s="6">
        <v>139</v>
      </c>
      <c r="B153" s="14" t="s">
        <v>158</v>
      </c>
      <c r="C153" s="15" t="s">
        <v>12</v>
      </c>
      <c r="D153" s="66">
        <f>SUM(15+20+20+4+25+30+350+120+60+50)</f>
        <v>694</v>
      </c>
      <c r="E153" s="77">
        <v>0.9</v>
      </c>
      <c r="F153" s="106">
        <v>1.1</v>
      </c>
      <c r="G153" s="12"/>
      <c r="H153" s="1"/>
    </row>
    <row r="154" spans="1:8" ht="15">
      <c r="A154" s="13">
        <v>140</v>
      </c>
      <c r="B154" s="14" t="s">
        <v>159</v>
      </c>
      <c r="C154" s="15" t="s">
        <v>12</v>
      </c>
      <c r="D154" s="57">
        <f>SUM(20+30+60+60+200+200+40+198)</f>
        <v>808</v>
      </c>
      <c r="E154" s="58">
        <v>1.5</v>
      </c>
      <c r="F154" s="106">
        <v>1.83</v>
      </c>
      <c r="G154" s="12"/>
      <c r="H154" s="1"/>
    </row>
    <row r="155" spans="1:8" ht="30">
      <c r="A155" s="13">
        <v>141</v>
      </c>
      <c r="B155" s="14" t="s">
        <v>160</v>
      </c>
      <c r="C155" s="15" t="s">
        <v>12</v>
      </c>
      <c r="D155" s="57">
        <f>SUM(10+20+30+36+150+40+25)</f>
        <v>311</v>
      </c>
      <c r="E155" s="58">
        <v>1.5</v>
      </c>
      <c r="F155" s="106">
        <v>1.83</v>
      </c>
      <c r="G155" s="12"/>
      <c r="H155" s="1"/>
    </row>
    <row r="156" spans="1:8" ht="15">
      <c r="A156" s="6">
        <v>142</v>
      </c>
      <c r="B156" s="14" t="s">
        <v>161</v>
      </c>
      <c r="C156" s="15" t="s">
        <v>12</v>
      </c>
      <c r="D156" s="57">
        <f>SUM(10+50+2+5+1+2+5+1+4+40+80+120+30+3+10+1+50+60+4+3)</f>
        <v>481</v>
      </c>
      <c r="E156" s="58">
        <v>6</v>
      </c>
      <c r="F156" s="106">
        <v>7.32</v>
      </c>
      <c r="G156" s="12"/>
      <c r="H156" s="1"/>
    </row>
    <row r="157" spans="1:8" ht="15">
      <c r="A157" s="6">
        <v>143</v>
      </c>
      <c r="B157" s="14" t="s">
        <v>162</v>
      </c>
      <c r="C157" s="15" t="s">
        <v>12</v>
      </c>
      <c r="D157" s="59">
        <v>250</v>
      </c>
      <c r="E157" s="18">
        <v>15</v>
      </c>
      <c r="F157" s="106">
        <v>18.3</v>
      </c>
      <c r="G157" s="12"/>
      <c r="H157" s="1"/>
    </row>
    <row r="158" spans="1:8" ht="15">
      <c r="A158" s="6">
        <v>144</v>
      </c>
      <c r="B158" s="14" t="s">
        <v>163</v>
      </c>
      <c r="C158" s="15" t="s">
        <v>12</v>
      </c>
      <c r="D158" s="57">
        <f>SUM(200)</f>
        <v>200</v>
      </c>
      <c r="E158" s="58">
        <v>0.9</v>
      </c>
      <c r="F158" s="106">
        <v>1.1</v>
      </c>
      <c r="G158" s="12"/>
      <c r="H158" s="1"/>
    </row>
    <row r="159" spans="1:8" ht="30">
      <c r="A159" s="13">
        <v>145</v>
      </c>
      <c r="B159" s="14" t="s">
        <v>164</v>
      </c>
      <c r="C159" s="15" t="s">
        <v>12</v>
      </c>
      <c r="D159" s="66">
        <f>SUM(5+1+1+1+2+2+2+4)</f>
        <v>18</v>
      </c>
      <c r="E159" s="77">
        <v>30</v>
      </c>
      <c r="F159" s="106">
        <v>36.6</v>
      </c>
      <c r="G159" s="12"/>
      <c r="H159" s="1"/>
    </row>
    <row r="160" spans="1:8" ht="15">
      <c r="A160" s="13">
        <v>146</v>
      </c>
      <c r="B160" s="14" t="s">
        <v>165</v>
      </c>
      <c r="C160" s="15" t="s">
        <v>12</v>
      </c>
      <c r="D160" s="66">
        <f>SUM(1+1+5+2+1+1+1+1+3+30+20+20+30+20+3+5)</f>
        <v>144</v>
      </c>
      <c r="E160" s="77">
        <v>6</v>
      </c>
      <c r="F160" s="106">
        <v>7.32</v>
      </c>
      <c r="G160" s="12"/>
      <c r="H160" s="1"/>
    </row>
    <row r="161" spans="1:8" ht="15">
      <c r="A161" s="6">
        <v>147</v>
      </c>
      <c r="B161" s="14" t="s">
        <v>166</v>
      </c>
      <c r="C161" s="15" t="s">
        <v>12</v>
      </c>
      <c r="D161" s="57">
        <f>SUM(1+4+1+1+1+1+1+2+4+20+150+1+20+3+12+8+3+3+3+2)</f>
        <v>241</v>
      </c>
      <c r="E161" s="58">
        <v>6</v>
      </c>
      <c r="F161" s="106">
        <v>7.32</v>
      </c>
      <c r="G161" s="12"/>
      <c r="H161" s="1"/>
    </row>
    <row r="162" spans="1:8" ht="30">
      <c r="A162" s="6">
        <v>148</v>
      </c>
      <c r="B162" s="14" t="s">
        <v>167</v>
      </c>
      <c r="C162" s="15" t="s">
        <v>12</v>
      </c>
      <c r="D162" s="57">
        <f>SUM(5+2+2+10+10+10+20+2+1+4)</f>
        <v>66</v>
      </c>
      <c r="E162" s="58">
        <v>15</v>
      </c>
      <c r="F162" s="106">
        <v>18.3</v>
      </c>
      <c r="G162" s="12"/>
      <c r="H162" s="1"/>
    </row>
    <row r="163" spans="1:8" ht="15">
      <c r="A163" s="6">
        <v>149</v>
      </c>
      <c r="B163" s="14" t="s">
        <v>168</v>
      </c>
      <c r="C163" s="15" t="s">
        <v>12</v>
      </c>
      <c r="D163" s="57">
        <f>SUM(6+2+4+1+12+4+5+4+5+60+20)</f>
        <v>123</v>
      </c>
      <c r="E163" s="58">
        <v>3</v>
      </c>
      <c r="F163" s="106">
        <v>3.66</v>
      </c>
      <c r="G163" s="12"/>
      <c r="H163" s="1"/>
    </row>
    <row r="164" spans="1:8" ht="30">
      <c r="A164" s="6">
        <v>150</v>
      </c>
      <c r="B164" s="14" t="s">
        <v>169</v>
      </c>
      <c r="C164" s="15" t="s">
        <v>12</v>
      </c>
      <c r="D164" s="57">
        <f>SUM(2+10+6+5+2+2+10+5+8+1+6+5+12+2+30+10+30+30+6+10)</f>
        <v>192</v>
      </c>
      <c r="E164" s="58">
        <v>6</v>
      </c>
      <c r="F164" s="106">
        <v>7.32</v>
      </c>
      <c r="G164" s="12"/>
      <c r="H164" s="1"/>
    </row>
    <row r="165" spans="1:8" ht="15">
      <c r="A165" s="6">
        <v>151</v>
      </c>
      <c r="B165" s="39" t="s">
        <v>170</v>
      </c>
      <c r="C165" s="24" t="s">
        <v>12</v>
      </c>
      <c r="D165" s="73">
        <f>SUM(20+5+4+20+8+6+10+1+20+6)</f>
        <v>100</v>
      </c>
      <c r="E165" s="74">
        <v>5</v>
      </c>
      <c r="F165" s="107">
        <v>6.1</v>
      </c>
      <c r="G165" s="12"/>
      <c r="H165" s="1"/>
    </row>
    <row r="166" spans="1:8" ht="17.25" customHeight="1">
      <c r="A166" s="122" t="s">
        <v>171</v>
      </c>
      <c r="B166" s="122"/>
      <c r="C166" s="122"/>
      <c r="D166" s="122"/>
      <c r="E166" s="122"/>
      <c r="F166" s="122"/>
      <c r="G166" s="12"/>
      <c r="H166" s="1"/>
    </row>
    <row r="167" spans="1:8" ht="15">
      <c r="A167" s="6">
        <v>152</v>
      </c>
      <c r="B167" s="7" t="s">
        <v>172</v>
      </c>
      <c r="C167" s="8" t="s">
        <v>12</v>
      </c>
      <c r="D167" s="45">
        <f>SUM(3+20+5+6+10+10+5+2+2+1)</f>
        <v>64</v>
      </c>
      <c r="E167" s="46">
        <v>8.8</v>
      </c>
      <c r="F167" s="109">
        <v>10.74</v>
      </c>
      <c r="G167" s="12"/>
      <c r="H167" s="1"/>
    </row>
    <row r="168" spans="1:8" ht="15">
      <c r="A168" s="6">
        <v>153</v>
      </c>
      <c r="B168" s="7" t="s">
        <v>173</v>
      </c>
      <c r="C168" s="8" t="s">
        <v>12</v>
      </c>
      <c r="D168" s="45">
        <f>SUM(8+3)</f>
        <v>11</v>
      </c>
      <c r="E168" s="46">
        <v>4.3</v>
      </c>
      <c r="F168" s="109">
        <v>5.25</v>
      </c>
      <c r="G168" s="12"/>
      <c r="H168" s="1"/>
    </row>
    <row r="169" spans="1:8" ht="15">
      <c r="A169" s="6">
        <v>154</v>
      </c>
      <c r="B169" s="7" t="s">
        <v>174</v>
      </c>
      <c r="C169" s="8" t="s">
        <v>12</v>
      </c>
      <c r="D169" s="78">
        <f>SUM(5+20)</f>
        <v>25</v>
      </c>
      <c r="E169" s="11">
        <v>8</v>
      </c>
      <c r="F169" s="109">
        <v>9.76</v>
      </c>
      <c r="G169" s="12"/>
      <c r="H169" s="1"/>
    </row>
    <row r="170" spans="1:8" ht="15">
      <c r="A170" s="6">
        <v>155</v>
      </c>
      <c r="B170" s="14" t="s">
        <v>175</v>
      </c>
      <c r="C170" s="8" t="s">
        <v>12</v>
      </c>
      <c r="D170" s="78">
        <v>50</v>
      </c>
      <c r="E170" s="11">
        <v>6.7</v>
      </c>
      <c r="F170" s="109">
        <v>8.17</v>
      </c>
      <c r="G170" s="12"/>
      <c r="H170" s="1"/>
    </row>
    <row r="171" spans="1:8" ht="15">
      <c r="A171" s="6">
        <v>156</v>
      </c>
      <c r="B171" s="14" t="s">
        <v>176</v>
      </c>
      <c r="C171" s="8" t="s">
        <v>12</v>
      </c>
      <c r="D171" s="78">
        <v>50</v>
      </c>
      <c r="E171" s="11">
        <v>6.5</v>
      </c>
      <c r="F171" s="109">
        <v>7.93</v>
      </c>
      <c r="G171" s="12"/>
      <c r="H171" s="1"/>
    </row>
    <row r="172" spans="1:8" ht="17.25" customHeight="1">
      <c r="A172" s="6">
        <v>157</v>
      </c>
      <c r="B172" s="65" t="s">
        <v>177</v>
      </c>
      <c r="C172" s="15" t="s">
        <v>17</v>
      </c>
      <c r="D172" s="59">
        <f>SUM(1+2+2)</f>
        <v>5</v>
      </c>
      <c r="E172" s="18">
        <v>6.8</v>
      </c>
      <c r="F172" s="106">
        <v>8.3</v>
      </c>
      <c r="G172" s="12"/>
      <c r="H172" s="1"/>
    </row>
    <row r="173" spans="1:8" ht="15">
      <c r="A173" s="6">
        <v>158</v>
      </c>
      <c r="B173" s="14" t="s">
        <v>178</v>
      </c>
      <c r="C173" s="15" t="s">
        <v>12</v>
      </c>
      <c r="D173" s="57">
        <f>SUM(1+8+2+2)</f>
        <v>13</v>
      </c>
      <c r="E173" s="58">
        <v>16.5</v>
      </c>
      <c r="F173" s="106">
        <v>20.13</v>
      </c>
      <c r="G173" s="12"/>
      <c r="H173" s="1"/>
    </row>
    <row r="174" spans="1:8" ht="15">
      <c r="A174" s="6">
        <v>159</v>
      </c>
      <c r="B174" s="14" t="s">
        <v>179</v>
      </c>
      <c r="C174" s="15" t="s">
        <v>12</v>
      </c>
      <c r="D174" s="57">
        <f>SUM(20+1+8+30+2+1)</f>
        <v>62</v>
      </c>
      <c r="E174" s="58">
        <v>16.4</v>
      </c>
      <c r="F174" s="106">
        <v>20.01</v>
      </c>
      <c r="G174" s="12"/>
      <c r="H174" s="1"/>
    </row>
    <row r="175" spans="1:8" ht="15">
      <c r="A175" s="6">
        <v>160</v>
      </c>
      <c r="B175" s="14" t="s">
        <v>180</v>
      </c>
      <c r="C175" s="15" t="s">
        <v>12</v>
      </c>
      <c r="D175" s="57">
        <f>SUM(4+10)</f>
        <v>14</v>
      </c>
      <c r="E175" s="58">
        <v>12</v>
      </c>
      <c r="F175" s="106">
        <v>14.64</v>
      </c>
      <c r="G175" s="12"/>
      <c r="H175" s="1"/>
    </row>
    <row r="176" spans="1:8" ht="15">
      <c r="A176" s="6">
        <v>161</v>
      </c>
      <c r="B176" s="14" t="s">
        <v>181</v>
      </c>
      <c r="C176" s="15" t="s">
        <v>12</v>
      </c>
      <c r="D176" s="57">
        <f>SUM(5+5+2+3+4+7+10)</f>
        <v>36</v>
      </c>
      <c r="E176" s="58">
        <v>15</v>
      </c>
      <c r="F176" s="106">
        <v>18.3</v>
      </c>
      <c r="G176" s="12"/>
      <c r="H176" s="1"/>
    </row>
    <row r="177" spans="1:8" ht="15">
      <c r="A177" s="6">
        <v>162</v>
      </c>
      <c r="B177" s="14" t="s">
        <v>182</v>
      </c>
      <c r="C177" s="15" t="s">
        <v>12</v>
      </c>
      <c r="D177" s="57">
        <f>SUM(5+5+4+7+10)</f>
        <v>31</v>
      </c>
      <c r="E177" s="58">
        <v>15</v>
      </c>
      <c r="F177" s="106">
        <v>18.3</v>
      </c>
      <c r="G177" s="12"/>
      <c r="H177" s="1"/>
    </row>
    <row r="178" spans="1:8" ht="15">
      <c r="A178" s="6">
        <v>163</v>
      </c>
      <c r="B178" s="14" t="s">
        <v>183</v>
      </c>
      <c r="C178" s="15" t="s">
        <v>12</v>
      </c>
      <c r="D178" s="57">
        <f>SUM(5+60+4)</f>
        <v>69</v>
      </c>
      <c r="E178" s="58">
        <v>15.5</v>
      </c>
      <c r="F178" s="106">
        <v>18.91</v>
      </c>
      <c r="G178" s="12"/>
      <c r="H178" s="1"/>
    </row>
    <row r="179" spans="1:8" ht="15">
      <c r="A179" s="6">
        <v>164</v>
      </c>
      <c r="B179" s="14" t="s">
        <v>184</v>
      </c>
      <c r="C179" s="15" t="s">
        <v>12</v>
      </c>
      <c r="D179" s="57">
        <f>SUM(1+2+1+3+20+10+10+30+7+3+8+6)</f>
        <v>101</v>
      </c>
      <c r="E179" s="58">
        <v>25</v>
      </c>
      <c r="F179" s="106">
        <v>30.5</v>
      </c>
      <c r="G179" s="12"/>
      <c r="H179" s="1"/>
    </row>
    <row r="180" spans="1:8" ht="15">
      <c r="A180" s="6">
        <v>165</v>
      </c>
      <c r="B180" s="14" t="s">
        <v>185</v>
      </c>
      <c r="C180" s="15" t="s">
        <v>12</v>
      </c>
      <c r="D180" s="59">
        <f>SUM(2+4+1+3+20+10+10+12+7+3+12+6)</f>
        <v>90</v>
      </c>
      <c r="E180" s="18">
        <v>25</v>
      </c>
      <c r="F180" s="106">
        <v>30.5</v>
      </c>
      <c r="G180" s="12"/>
      <c r="H180" s="1"/>
    </row>
    <row r="181" spans="1:8" ht="15">
      <c r="A181" s="6">
        <v>166</v>
      </c>
      <c r="B181" s="14" t="s">
        <v>186</v>
      </c>
      <c r="C181" s="15" t="s">
        <v>12</v>
      </c>
      <c r="D181" s="57">
        <f>SUM(20+2+2)</f>
        <v>24</v>
      </c>
      <c r="E181" s="58">
        <v>27</v>
      </c>
      <c r="F181" s="106">
        <v>32.94</v>
      </c>
      <c r="G181" s="12"/>
      <c r="H181" s="1"/>
    </row>
    <row r="182" spans="1:8" ht="15">
      <c r="A182" s="6">
        <v>167</v>
      </c>
      <c r="B182" s="14" t="s">
        <v>187</v>
      </c>
      <c r="C182" s="15" t="s">
        <v>12</v>
      </c>
      <c r="D182" s="57">
        <f>SUM(10+20+30+15)</f>
        <v>75</v>
      </c>
      <c r="E182" s="58">
        <v>3.6</v>
      </c>
      <c r="F182" s="106">
        <v>4.39</v>
      </c>
      <c r="G182" s="12"/>
      <c r="H182" s="1"/>
    </row>
    <row r="183" spans="1:8" ht="15">
      <c r="A183" s="6">
        <v>168</v>
      </c>
      <c r="B183" s="14" t="s">
        <v>188</v>
      </c>
      <c r="C183" s="15" t="s">
        <v>12</v>
      </c>
      <c r="D183" s="57">
        <f>SUM(2+3+10+10+20+30+15)</f>
        <v>90</v>
      </c>
      <c r="E183" s="58">
        <v>3.6</v>
      </c>
      <c r="F183" s="106">
        <v>4.39</v>
      </c>
      <c r="G183" s="12"/>
      <c r="H183" s="1"/>
    </row>
    <row r="184" spans="1:8" ht="30">
      <c r="A184" s="6">
        <v>169</v>
      </c>
      <c r="B184" s="14" t="s">
        <v>189</v>
      </c>
      <c r="C184" s="15" t="s">
        <v>12</v>
      </c>
      <c r="D184" s="59">
        <f>SUM(5+2+3+20+10+2+16+6+1+1+1)</f>
        <v>67</v>
      </c>
      <c r="E184" s="18">
        <v>12</v>
      </c>
      <c r="F184" s="106">
        <v>14.64</v>
      </c>
      <c r="G184" s="12"/>
      <c r="H184" s="1"/>
    </row>
    <row r="185" spans="1:8" ht="15">
      <c r="A185" s="6">
        <v>170</v>
      </c>
      <c r="B185" s="14" t="s">
        <v>190</v>
      </c>
      <c r="C185" s="24" t="s">
        <v>12</v>
      </c>
      <c r="D185" s="64">
        <v>10</v>
      </c>
      <c r="E185" s="26">
        <v>25</v>
      </c>
      <c r="F185" s="107">
        <v>30.5</v>
      </c>
      <c r="G185" s="12"/>
      <c r="H185" s="1"/>
    </row>
    <row r="186" spans="1:8" ht="15">
      <c r="A186" s="6">
        <v>171</v>
      </c>
      <c r="B186" s="14" t="s">
        <v>191</v>
      </c>
      <c r="C186" s="24" t="s">
        <v>12</v>
      </c>
      <c r="D186" s="64">
        <v>10</v>
      </c>
      <c r="E186" s="26">
        <v>25</v>
      </c>
      <c r="F186" s="107">
        <v>30.5</v>
      </c>
      <c r="G186" s="12"/>
      <c r="H186" s="1"/>
    </row>
    <row r="187" spans="1:8" ht="15">
      <c r="A187" s="6">
        <v>172</v>
      </c>
      <c r="B187" s="14" t="s">
        <v>192</v>
      </c>
      <c r="C187" s="24" t="s">
        <v>12</v>
      </c>
      <c r="D187" s="64">
        <v>30</v>
      </c>
      <c r="E187" s="26">
        <v>20</v>
      </c>
      <c r="F187" s="107">
        <v>24.4</v>
      </c>
      <c r="G187" s="12"/>
      <c r="H187" s="1"/>
    </row>
    <row r="188" spans="1:8" ht="15">
      <c r="A188" s="6">
        <v>173</v>
      </c>
      <c r="B188" s="14" t="s">
        <v>193</v>
      </c>
      <c r="C188" s="24" t="s">
        <v>12</v>
      </c>
      <c r="D188" s="64">
        <v>30</v>
      </c>
      <c r="E188" s="26">
        <v>15</v>
      </c>
      <c r="F188" s="107">
        <v>18.3</v>
      </c>
      <c r="G188" s="12"/>
      <c r="H188" s="1"/>
    </row>
    <row r="189" spans="1:8" ht="15">
      <c r="A189" s="6">
        <v>174</v>
      </c>
      <c r="B189" s="39" t="s">
        <v>194</v>
      </c>
      <c r="C189" s="24" t="s">
        <v>12</v>
      </c>
      <c r="D189" s="64">
        <f>SUM(5+1+24)</f>
        <v>30</v>
      </c>
      <c r="E189" s="26">
        <v>15</v>
      </c>
      <c r="F189" s="107">
        <v>18.3</v>
      </c>
      <c r="G189" s="12"/>
      <c r="H189" s="1"/>
    </row>
    <row r="190" spans="1:8" ht="15">
      <c r="A190" s="13">
        <v>175</v>
      </c>
      <c r="B190" s="14" t="s">
        <v>195</v>
      </c>
      <c r="C190" s="15" t="s">
        <v>12</v>
      </c>
      <c r="D190" s="57">
        <f>SUM(2+2+5+5+3+5+5+20+5+6)</f>
        <v>58</v>
      </c>
      <c r="E190" s="58">
        <v>19</v>
      </c>
      <c r="F190" s="106">
        <v>23.18</v>
      </c>
      <c r="G190" s="12"/>
      <c r="H190" s="1"/>
    </row>
    <row r="191" spans="1:8" ht="30">
      <c r="A191" s="13">
        <v>176</v>
      </c>
      <c r="B191" s="14" t="s">
        <v>196</v>
      </c>
      <c r="C191" s="15" t="s">
        <v>12</v>
      </c>
      <c r="D191" s="66">
        <f>SUM(1+2+2+10+10+36+10+10+10+5+8)</f>
        <v>104</v>
      </c>
      <c r="E191" s="58">
        <v>8.5</v>
      </c>
      <c r="F191" s="106">
        <v>10.37</v>
      </c>
      <c r="G191" s="12"/>
      <c r="H191" s="1"/>
    </row>
    <row r="192" spans="1:8" ht="17.25" customHeight="1">
      <c r="A192" s="122" t="s">
        <v>197</v>
      </c>
      <c r="B192" s="122"/>
      <c r="C192" s="122"/>
      <c r="D192" s="122"/>
      <c r="E192" s="122"/>
      <c r="F192" s="122"/>
      <c r="G192" s="12"/>
      <c r="H192" s="1"/>
    </row>
    <row r="193" spans="1:8" ht="15">
      <c r="A193" s="6">
        <v>177</v>
      </c>
      <c r="B193" s="7" t="s">
        <v>198</v>
      </c>
      <c r="C193" s="8" t="s">
        <v>12</v>
      </c>
      <c r="D193" s="79">
        <f>SUM(3+2+1+2+50+10+3+40+4+5+4+4+100+30+50+4+40+204+100+30+30+12+50+10+10+70+5+20+20+6+10)</f>
        <v>929</v>
      </c>
      <c r="E193" s="46">
        <v>8.8</v>
      </c>
      <c r="F193" s="109">
        <v>10.74</v>
      </c>
      <c r="G193" s="12"/>
      <c r="H193" s="1"/>
    </row>
    <row r="194" spans="1:8" ht="15">
      <c r="A194" s="13">
        <v>178</v>
      </c>
      <c r="B194" s="14" t="s">
        <v>199</v>
      </c>
      <c r="C194" s="80" t="s">
        <v>12</v>
      </c>
      <c r="D194" s="81">
        <f>SUM(40+30)</f>
        <v>70</v>
      </c>
      <c r="E194" s="82">
        <v>3.5</v>
      </c>
      <c r="F194" s="111">
        <v>4.27</v>
      </c>
      <c r="G194" s="12"/>
      <c r="H194" s="1"/>
    </row>
    <row r="195" spans="1:8" ht="15.75" thickBot="1">
      <c r="A195" s="6">
        <v>179</v>
      </c>
      <c r="B195" s="53" t="s">
        <v>200</v>
      </c>
      <c r="C195" s="32" t="s">
        <v>12</v>
      </c>
      <c r="D195" s="60">
        <f>SUM(5+200+30+50+10+50+10+10)</f>
        <v>365</v>
      </c>
      <c r="E195" s="83">
        <v>2.8</v>
      </c>
      <c r="F195" s="108">
        <v>3.42</v>
      </c>
      <c r="G195" s="12"/>
      <c r="H195" s="1"/>
    </row>
    <row r="196" spans="1:8" ht="17.25" customHeight="1" thickTop="1">
      <c r="A196" s="121" t="s">
        <v>201</v>
      </c>
      <c r="B196" s="121"/>
      <c r="C196" s="121"/>
      <c r="D196" s="121"/>
      <c r="E196" s="121"/>
      <c r="F196" s="121"/>
      <c r="G196" s="12"/>
      <c r="H196" s="1"/>
    </row>
    <row r="197" spans="1:8" ht="15">
      <c r="A197" s="6">
        <v>180</v>
      </c>
      <c r="B197" s="7" t="s">
        <v>202</v>
      </c>
      <c r="C197" s="8" t="s">
        <v>12</v>
      </c>
      <c r="D197" s="45">
        <f>SUM(10+10+100+5+20+5+20+75+300+320+300+160+50+400+50+40+100+240+200+60+100+100+36+50+60+6+14+15+80)</f>
        <v>2926</v>
      </c>
      <c r="E197" s="46">
        <v>1.9</v>
      </c>
      <c r="F197" s="109">
        <v>2.32</v>
      </c>
      <c r="G197" s="12"/>
      <c r="H197" s="1"/>
    </row>
    <row r="198" spans="1:8" ht="15">
      <c r="A198" s="13">
        <v>181</v>
      </c>
      <c r="B198" s="14" t="s">
        <v>203</v>
      </c>
      <c r="C198" s="15" t="s">
        <v>12</v>
      </c>
      <c r="D198" s="57">
        <f>SUM(10+100+2+15+5+10+30+40+60+200+100+40+30+200+60+80)</f>
        <v>982</v>
      </c>
      <c r="E198" s="58">
        <v>1.4</v>
      </c>
      <c r="F198" s="106">
        <v>1.71</v>
      </c>
      <c r="G198" s="12"/>
      <c r="H198" s="1"/>
    </row>
    <row r="199" spans="1:8" ht="15">
      <c r="A199" s="6">
        <v>182</v>
      </c>
      <c r="B199" s="14" t="s">
        <v>204</v>
      </c>
      <c r="C199" s="15" t="s">
        <v>12</v>
      </c>
      <c r="D199" s="57">
        <f>SUM(10+6+5+400+3+10+20+2+5+6+160+200+240+50+900+300+550+600+50+36+10+20+300+500+40+30+30+30+15)</f>
        <v>4528</v>
      </c>
      <c r="E199" s="58">
        <v>2.74</v>
      </c>
      <c r="F199" s="106">
        <v>3.34</v>
      </c>
      <c r="G199" s="12"/>
      <c r="H199" s="1"/>
    </row>
    <row r="200" spans="1:8" ht="15">
      <c r="A200" s="13">
        <v>183</v>
      </c>
      <c r="B200" s="14" t="s">
        <v>205</v>
      </c>
      <c r="C200" s="15" t="s">
        <v>12</v>
      </c>
      <c r="D200" s="57">
        <f>SUM(3+1+100+2+1+20+2+10+5+5+2+5+1+2+1+100+20+50+60+10+10+5+20+20+10)</f>
        <v>465</v>
      </c>
      <c r="E200" s="58">
        <v>5</v>
      </c>
      <c r="F200" s="106">
        <v>6.1</v>
      </c>
      <c r="G200" s="12"/>
      <c r="H200" s="1"/>
    </row>
    <row r="201" spans="1:8" ht="15">
      <c r="A201" s="6">
        <v>184</v>
      </c>
      <c r="B201" s="14" t="s">
        <v>206</v>
      </c>
      <c r="C201" s="15" t="s">
        <v>12</v>
      </c>
      <c r="D201" s="57">
        <f>SUM(5+100+2+2+10+10+5+6+5+2+2+10+250+50+80+60+20+30+7)</f>
        <v>656</v>
      </c>
      <c r="E201" s="58">
        <v>1.4</v>
      </c>
      <c r="F201" s="106">
        <v>1.71</v>
      </c>
      <c r="G201" s="12"/>
      <c r="H201" s="1"/>
    </row>
    <row r="202" spans="1:8" ht="15">
      <c r="A202" s="13">
        <v>185</v>
      </c>
      <c r="B202" s="7" t="s">
        <v>207</v>
      </c>
      <c r="C202" s="8" t="s">
        <v>12</v>
      </c>
      <c r="D202" s="45">
        <f>SUM(100+8+4+5+5+5+5+5+60+120+20+10+50+5+20+5+10)</f>
        <v>437</v>
      </c>
      <c r="E202" s="46">
        <v>3.2</v>
      </c>
      <c r="F202" s="109">
        <v>3.9</v>
      </c>
      <c r="G202" s="12"/>
      <c r="H202" s="1"/>
    </row>
    <row r="203" spans="1:8" ht="15">
      <c r="A203" s="6">
        <v>186</v>
      </c>
      <c r="B203" s="14" t="s">
        <v>208</v>
      </c>
      <c r="C203" s="15" t="s">
        <v>12</v>
      </c>
      <c r="D203" s="57">
        <f>SUM(2+2+2+3+1+1+10+2+1+3+3+4+1+3+10+1+1+1+1+9+1+10+60+20+50+50+50+10+25+40+5+4+20)</f>
        <v>406</v>
      </c>
      <c r="E203" s="58">
        <v>5.5</v>
      </c>
      <c r="F203" s="106">
        <v>6.71</v>
      </c>
      <c r="G203" s="12"/>
      <c r="H203" s="1"/>
    </row>
    <row r="204" spans="1:8" ht="15">
      <c r="A204" s="13">
        <v>187</v>
      </c>
      <c r="B204" s="14" t="s">
        <v>209</v>
      </c>
      <c r="C204" s="15" t="s">
        <v>12</v>
      </c>
      <c r="D204" s="66">
        <f>SUM(1+20+60+50+200+10+5+1+5+5+50+20+10)</f>
        <v>437</v>
      </c>
      <c r="E204" s="77">
        <v>2.5</v>
      </c>
      <c r="F204" s="106">
        <v>3.05</v>
      </c>
      <c r="G204" s="12"/>
      <c r="H204" s="1"/>
    </row>
    <row r="205" spans="1:8" ht="15">
      <c r="A205" s="6">
        <v>188</v>
      </c>
      <c r="B205" s="7" t="s">
        <v>210</v>
      </c>
      <c r="C205" s="8" t="s">
        <v>12</v>
      </c>
      <c r="D205" s="84">
        <f>SUM(1+20+2+10+60+60+30+6+50+40+100+5+30+4+6)</f>
        <v>424</v>
      </c>
      <c r="E205" s="85">
        <v>5</v>
      </c>
      <c r="F205" s="109">
        <v>6.1</v>
      </c>
      <c r="G205" s="12"/>
      <c r="H205" s="1"/>
    </row>
    <row r="206" spans="1:8" ht="15">
      <c r="A206" s="13">
        <v>189</v>
      </c>
      <c r="B206" s="14" t="s">
        <v>211</v>
      </c>
      <c r="C206" s="15" t="s">
        <v>12</v>
      </c>
      <c r="D206" s="66">
        <f>SUM(2+1+1+5+60+160+50+20+30+12+5+5+10)</f>
        <v>361</v>
      </c>
      <c r="E206" s="77">
        <v>8</v>
      </c>
      <c r="F206" s="106">
        <v>9.76</v>
      </c>
      <c r="G206" s="12"/>
      <c r="H206" s="1"/>
    </row>
    <row r="207" spans="1:8" ht="15">
      <c r="A207" s="6">
        <v>190</v>
      </c>
      <c r="B207" s="14" t="s">
        <v>212</v>
      </c>
      <c r="C207" s="15" t="s">
        <v>12</v>
      </c>
      <c r="D207" s="57">
        <f>SUM(5+5+20+20+20+3+3+10+100+60+30+60+240+150+50+30+600+300+240+600+50+72+100+50+20+30)</f>
        <v>2868</v>
      </c>
      <c r="E207" s="58">
        <v>0.45</v>
      </c>
      <c r="F207" s="106">
        <v>0.55</v>
      </c>
      <c r="G207" s="12"/>
      <c r="H207" s="1"/>
    </row>
    <row r="208" spans="1:8" ht="15">
      <c r="A208" s="13">
        <v>191</v>
      </c>
      <c r="B208" s="14" t="s">
        <v>213</v>
      </c>
      <c r="C208" s="15" t="s">
        <v>12</v>
      </c>
      <c r="D208" s="57">
        <f>SUM(100+5+2+5+60+100+120+50+15+8+14)</f>
        <v>479</v>
      </c>
      <c r="E208" s="58">
        <v>1.15</v>
      </c>
      <c r="F208" s="106">
        <v>1.4</v>
      </c>
      <c r="G208" s="12"/>
      <c r="H208" s="1"/>
    </row>
    <row r="209" spans="1:8" s="21" customFormat="1" ht="15">
      <c r="A209" s="6">
        <v>192</v>
      </c>
      <c r="B209" s="14" t="s">
        <v>214</v>
      </c>
      <c r="C209" s="15" t="s">
        <v>12</v>
      </c>
      <c r="D209" s="59">
        <v>3</v>
      </c>
      <c r="E209" s="18">
        <v>8.5</v>
      </c>
      <c r="F209" s="106">
        <v>10.37</v>
      </c>
      <c r="G209" s="12"/>
      <c r="H209" s="1"/>
    </row>
    <row r="210" spans="1:8" ht="15">
      <c r="A210" s="13">
        <v>193</v>
      </c>
      <c r="B210" s="14" t="s">
        <v>215</v>
      </c>
      <c r="C210" s="15" t="s">
        <v>12</v>
      </c>
      <c r="D210" s="57">
        <f>SUM(4+1+3+3+100+60+10+10+5)</f>
        <v>196</v>
      </c>
      <c r="E210" s="58">
        <v>3</v>
      </c>
      <c r="F210" s="106">
        <v>3.66</v>
      </c>
      <c r="G210" s="12"/>
      <c r="H210" s="1"/>
    </row>
    <row r="211" spans="1:8" ht="15">
      <c r="A211" s="6">
        <v>194</v>
      </c>
      <c r="B211" s="14" t="s">
        <v>216</v>
      </c>
      <c r="C211" s="15" t="s">
        <v>12</v>
      </c>
      <c r="D211" s="57">
        <f>SUM(20+4+5+4+2+2+6+2+2+10+3+5+10+10+6+2+1+4+4+1+1+1+1+10+60+20+20+10+50+10+5+20+3+10+5+50+80)</f>
        <v>459</v>
      </c>
      <c r="E211" s="58">
        <v>1.6</v>
      </c>
      <c r="F211" s="106">
        <v>1.95</v>
      </c>
      <c r="G211" s="12"/>
      <c r="H211" s="1"/>
    </row>
    <row r="212" spans="1:8" ht="15">
      <c r="A212" s="13">
        <v>195</v>
      </c>
      <c r="B212" s="14" t="s">
        <v>217</v>
      </c>
      <c r="C212" s="15" t="s">
        <v>12</v>
      </c>
      <c r="D212" s="57">
        <f>SUM(4+4+3+1+5+3+2+2+10+4+3+2+4+2+10+1+1+2+20+40+50+100+30+40+50+50+12+50+20+5+20+30+50+2+2+5+2+1+40+10+10+5)</f>
        <v>707</v>
      </c>
      <c r="E212" s="58">
        <v>1.5</v>
      </c>
      <c r="F212" s="106">
        <v>1.83</v>
      </c>
      <c r="G212" s="12"/>
      <c r="H212" s="1"/>
    </row>
    <row r="213" spans="1:8" ht="15">
      <c r="A213" s="6">
        <v>196</v>
      </c>
      <c r="B213" s="14" t="s">
        <v>218</v>
      </c>
      <c r="C213" s="15" t="s">
        <v>12</v>
      </c>
      <c r="D213" s="57">
        <f>SUM(5+30+1+3+50+10+36+40+10)</f>
        <v>185</v>
      </c>
      <c r="E213" s="58">
        <v>1.9</v>
      </c>
      <c r="F213" s="106">
        <v>2.32</v>
      </c>
      <c r="G213" s="12"/>
      <c r="H213" s="1"/>
    </row>
    <row r="214" spans="1:8" ht="15">
      <c r="A214" s="13">
        <v>197</v>
      </c>
      <c r="B214" s="14" t="s">
        <v>219</v>
      </c>
      <c r="C214" s="15" t="s">
        <v>12</v>
      </c>
      <c r="D214" s="57">
        <f>SUM(5+1+2+15+5+10+3+2+5+24+2)</f>
        <v>74</v>
      </c>
      <c r="E214" s="58">
        <v>2.7</v>
      </c>
      <c r="F214" s="106">
        <v>3.29</v>
      </c>
      <c r="G214" s="12"/>
      <c r="H214" s="1"/>
    </row>
    <row r="215" spans="1:8" ht="15">
      <c r="A215" s="6">
        <v>198</v>
      </c>
      <c r="B215" s="14" t="s">
        <v>220</v>
      </c>
      <c r="C215" s="15" t="s">
        <v>12</v>
      </c>
      <c r="D215" s="57">
        <f>SUM(5+5+5+15+20+5+3+2+20+20+50+30+20+6+40)</f>
        <v>246</v>
      </c>
      <c r="E215" s="58">
        <v>3</v>
      </c>
      <c r="F215" s="106">
        <v>3.66</v>
      </c>
      <c r="G215" s="12"/>
      <c r="H215" s="1"/>
    </row>
    <row r="216" spans="1:8" ht="15">
      <c r="A216" s="13">
        <v>199</v>
      </c>
      <c r="B216" s="39" t="s">
        <v>221</v>
      </c>
      <c r="C216" s="24" t="s">
        <v>12</v>
      </c>
      <c r="D216" s="75">
        <f>SUM(2+10+1+2+10+2+2+3+5+3+5+4+5)</f>
        <v>54</v>
      </c>
      <c r="E216" s="74">
        <v>2</v>
      </c>
      <c r="F216" s="107">
        <v>2.44</v>
      </c>
      <c r="G216" s="12"/>
      <c r="H216" s="1"/>
    </row>
    <row r="217" spans="1:8" ht="17.25" customHeight="1">
      <c r="A217" s="122" t="s">
        <v>222</v>
      </c>
      <c r="B217" s="122"/>
      <c r="C217" s="122"/>
      <c r="D217" s="122"/>
      <c r="E217" s="122"/>
      <c r="F217" s="122"/>
      <c r="G217" s="12"/>
      <c r="H217" s="1"/>
    </row>
    <row r="218" spans="1:8" ht="15">
      <c r="A218" s="6">
        <v>200</v>
      </c>
      <c r="B218" s="7" t="s">
        <v>223</v>
      </c>
      <c r="C218" s="8" t="s">
        <v>12</v>
      </c>
      <c r="D218" s="45">
        <f>SUM(200+20+12+20+2+200+20+2+8+3+5+15+10+4+20+2+30+300+80+160+240+200+40+80+20+150+80+130+80+20+120+3+30+18+2+4+60+10+10+3)</f>
        <v>2413</v>
      </c>
      <c r="E218" s="46">
        <v>2.5</v>
      </c>
      <c r="F218" s="109">
        <v>3.05</v>
      </c>
      <c r="G218" s="12"/>
      <c r="H218" s="1"/>
    </row>
    <row r="219" spans="1:8" ht="15">
      <c r="A219" s="6">
        <v>201</v>
      </c>
      <c r="B219" s="7" t="s">
        <v>224</v>
      </c>
      <c r="C219" s="8" t="s">
        <v>12</v>
      </c>
      <c r="D219" s="45">
        <f>SUM(11+10+2+2+1+4+3+7+20+20+600+180+300+10+50)</f>
        <v>1220</v>
      </c>
      <c r="E219" s="46">
        <v>4</v>
      </c>
      <c r="F219" s="109">
        <v>4.88</v>
      </c>
      <c r="G219" s="12"/>
      <c r="H219" s="1"/>
    </row>
    <row r="220" spans="1:8" ht="15">
      <c r="A220" s="6">
        <v>202</v>
      </c>
      <c r="B220" s="7" t="s">
        <v>225</v>
      </c>
      <c r="C220" s="8" t="s">
        <v>12</v>
      </c>
      <c r="D220" s="45">
        <f>SUM(10+2+10+2+100+2+2+10+3+200+160+20+15+5+80+25+360+50+20+10)</f>
        <v>1086</v>
      </c>
      <c r="E220" s="46">
        <v>17</v>
      </c>
      <c r="F220" s="109">
        <v>20.74</v>
      </c>
      <c r="G220" s="12"/>
      <c r="H220" s="1"/>
    </row>
    <row r="221" spans="1:8" ht="15">
      <c r="A221" s="6">
        <v>203</v>
      </c>
      <c r="B221" s="7" t="s">
        <v>226</v>
      </c>
      <c r="C221" s="8" t="s">
        <v>12</v>
      </c>
      <c r="D221" s="45">
        <f>SUM(10+1+2+2+1+2+1+10+1+3+15+10+1+25+60+300+40+150+40+30+60+120+20+10+36+10+12+45+80+2+4+3+3+1)</f>
        <v>1110</v>
      </c>
      <c r="E221" s="46">
        <v>7</v>
      </c>
      <c r="F221" s="109">
        <v>8.54</v>
      </c>
      <c r="G221" s="12"/>
      <c r="H221" s="1"/>
    </row>
    <row r="222" spans="1:8" ht="15">
      <c r="A222" s="6">
        <v>204</v>
      </c>
      <c r="B222" s="14" t="s">
        <v>227</v>
      </c>
      <c r="C222" s="15" t="s">
        <v>12</v>
      </c>
      <c r="D222" s="57">
        <f>SUM(100+6+2+1+200+5+2+5+2+1+1+15+4+1+5+5+30+300+30+150+100+150+50+20+20+40+7+7+3)</f>
        <v>1262</v>
      </c>
      <c r="E222" s="58">
        <v>5</v>
      </c>
      <c r="F222" s="106">
        <v>6.1</v>
      </c>
      <c r="G222" s="12"/>
      <c r="H222" s="1"/>
    </row>
    <row r="223" spans="1:8" ht="15">
      <c r="A223" s="6">
        <v>205</v>
      </c>
      <c r="B223" s="39" t="s">
        <v>228</v>
      </c>
      <c r="C223" s="24" t="s">
        <v>12</v>
      </c>
      <c r="D223" s="73">
        <f>SUM(2+6+1+100+2+5+10+1+4+2+10+5+10+30+300+160+260+240+150+60+150+250+40+8+3+4+30)</f>
        <v>1843</v>
      </c>
      <c r="E223" s="74">
        <v>3</v>
      </c>
      <c r="F223" s="107">
        <v>3.66</v>
      </c>
      <c r="G223" s="12"/>
      <c r="H223" s="1"/>
    </row>
    <row r="224" spans="1:8" ht="17.25" customHeight="1">
      <c r="A224" s="122" t="s">
        <v>229</v>
      </c>
      <c r="B224" s="122"/>
      <c r="C224" s="122"/>
      <c r="D224" s="122"/>
      <c r="E224" s="122"/>
      <c r="F224" s="122"/>
      <c r="G224" s="12"/>
      <c r="H224" s="1"/>
    </row>
    <row r="225" spans="1:8" ht="15">
      <c r="A225" s="6">
        <v>206</v>
      </c>
      <c r="B225" s="7" t="s">
        <v>230</v>
      </c>
      <c r="C225" s="8" t="s">
        <v>12</v>
      </c>
      <c r="D225" s="79">
        <f>SUM(200+10+4+2+50+30+30+40+100+12)</f>
        <v>478</v>
      </c>
      <c r="E225" s="10">
        <v>1.2</v>
      </c>
      <c r="F225" s="112">
        <v>1.46</v>
      </c>
      <c r="G225" s="12"/>
      <c r="H225" s="1"/>
    </row>
    <row r="226" spans="1:8" ht="15">
      <c r="A226" s="13">
        <v>207</v>
      </c>
      <c r="B226" s="14" t="s">
        <v>231</v>
      </c>
      <c r="C226" s="15" t="s">
        <v>12</v>
      </c>
      <c r="D226" s="66">
        <f>SUM(10+6+9+20+100+40+24+24+26)</f>
        <v>259</v>
      </c>
      <c r="E226" s="77">
        <v>1.4</v>
      </c>
      <c r="F226" s="113">
        <v>1.71</v>
      </c>
      <c r="G226" s="12"/>
      <c r="H226" s="1"/>
    </row>
    <row r="227" spans="1:8" ht="15">
      <c r="A227" s="6">
        <v>208</v>
      </c>
      <c r="B227" s="14" t="s">
        <v>232</v>
      </c>
      <c r="C227" s="15" t="s">
        <v>12</v>
      </c>
      <c r="D227" s="66">
        <f>SUM(1+10+50+50+15)</f>
        <v>126</v>
      </c>
      <c r="E227" s="77">
        <v>2.6</v>
      </c>
      <c r="F227" s="113">
        <v>3.17</v>
      </c>
      <c r="G227" s="12"/>
      <c r="H227" s="1"/>
    </row>
    <row r="228" spans="1:8" ht="15">
      <c r="A228" s="13">
        <v>209</v>
      </c>
      <c r="B228" s="14" t="s">
        <v>233</v>
      </c>
      <c r="C228" s="15" t="s">
        <v>12</v>
      </c>
      <c r="D228" s="66">
        <f>SUM(8+5+10+1+10+5+1+30+60+5+80+20)</f>
        <v>235</v>
      </c>
      <c r="E228" s="77">
        <v>3</v>
      </c>
      <c r="F228" s="113">
        <v>3.66</v>
      </c>
      <c r="G228" s="12"/>
      <c r="H228" s="1"/>
    </row>
    <row r="229" spans="1:8" ht="15">
      <c r="A229" s="6">
        <v>210</v>
      </c>
      <c r="B229" s="14" t="s">
        <v>234</v>
      </c>
      <c r="C229" s="15" t="s">
        <v>12</v>
      </c>
      <c r="D229" s="66">
        <f>SUM(10+4+4+2+5+4+2+10+10+20+40+24+26+30+30+3)</f>
        <v>224</v>
      </c>
      <c r="E229" s="77">
        <v>2.99</v>
      </c>
      <c r="F229" s="113">
        <v>3.65</v>
      </c>
      <c r="G229" s="12"/>
      <c r="H229" s="1"/>
    </row>
    <row r="230" spans="1:8" ht="15">
      <c r="A230" s="13">
        <v>211</v>
      </c>
      <c r="B230" s="14" t="s">
        <v>235</v>
      </c>
      <c r="C230" s="15" t="s">
        <v>236</v>
      </c>
      <c r="D230" s="66">
        <f>SUM(100+20+10+4+3+6+10+60+100+50+50+60+40+10+10)</f>
        <v>533</v>
      </c>
      <c r="E230" s="77">
        <v>2.2</v>
      </c>
      <c r="F230" s="113">
        <v>2.68</v>
      </c>
      <c r="G230" s="12"/>
      <c r="H230" s="1"/>
    </row>
    <row r="231" spans="1:8" ht="15">
      <c r="A231" s="6">
        <v>212</v>
      </c>
      <c r="B231" s="14" t="s">
        <v>237</v>
      </c>
      <c r="C231" s="15" t="s">
        <v>12</v>
      </c>
      <c r="D231" s="66">
        <f>SUM(6+5+30+5+4+3+2+2+50+1+1+60+60+50+60+720+30+30+12)</f>
        <v>1131</v>
      </c>
      <c r="E231" s="77">
        <v>1.15</v>
      </c>
      <c r="F231" s="113">
        <v>1.4</v>
      </c>
      <c r="G231" s="12"/>
      <c r="H231" s="1"/>
    </row>
    <row r="232" spans="1:8" ht="15">
      <c r="A232" s="13">
        <v>213</v>
      </c>
      <c r="B232" s="14" t="s">
        <v>238</v>
      </c>
      <c r="C232" s="15" t="s">
        <v>12</v>
      </c>
      <c r="D232" s="66">
        <f>SUM(5+40+10+5+10+4+100+10+30+5+3+2+2+2+400+1+1+20+10+60+100+100+80+250+150+60+480+30+20+5+106+12+15+30+10+10+5)</f>
        <v>2183</v>
      </c>
      <c r="E232" s="77">
        <v>1.15</v>
      </c>
      <c r="F232" s="113">
        <v>1.4</v>
      </c>
      <c r="G232" s="12"/>
      <c r="H232" s="1"/>
    </row>
    <row r="233" spans="1:8" ht="15">
      <c r="A233" s="6">
        <v>214</v>
      </c>
      <c r="B233" s="14" t="s">
        <v>239</v>
      </c>
      <c r="C233" s="15" t="s">
        <v>12</v>
      </c>
      <c r="D233" s="66">
        <f>SUM(2+15+5+10+5+2+2+2+2+300+1+50+80+5+50+20+20+5+58+30)</f>
        <v>664</v>
      </c>
      <c r="E233" s="77">
        <v>1.15</v>
      </c>
      <c r="F233" s="113">
        <v>1.4</v>
      </c>
      <c r="G233" s="12"/>
      <c r="H233" s="1"/>
    </row>
    <row r="234" spans="1:8" ht="15">
      <c r="A234" s="13">
        <v>215</v>
      </c>
      <c r="B234" s="14" t="s">
        <v>240</v>
      </c>
      <c r="C234" s="15" t="s">
        <v>12</v>
      </c>
      <c r="D234" s="66">
        <f>SUM(20+50+2+10+10+5+5+2+1+5+20+8+6+4+3+4+5+4+10+3+1+3+1+9+5+2+3+2+2+10+20+5+20+15+1+2+2+1+4+2+2+10+14+12+22+10+1+1+1)</f>
        <v>360</v>
      </c>
      <c r="E234" s="77">
        <v>13</v>
      </c>
      <c r="F234" s="113">
        <v>15.86</v>
      </c>
      <c r="G234" s="12"/>
      <c r="H234" s="1"/>
    </row>
    <row r="235" spans="1:8" ht="15">
      <c r="A235" s="6">
        <v>216</v>
      </c>
      <c r="B235" s="14" t="s">
        <v>241</v>
      </c>
      <c r="C235" s="15" t="s">
        <v>12</v>
      </c>
      <c r="D235" s="66">
        <f>SUM(4+30+50+10+200+250+180+20+20+150+350)</f>
        <v>1264</v>
      </c>
      <c r="E235" s="77">
        <v>2.7</v>
      </c>
      <c r="F235" s="113">
        <v>3.29</v>
      </c>
      <c r="G235" s="12"/>
      <c r="H235" s="1"/>
    </row>
    <row r="236" spans="1:8" ht="15">
      <c r="A236" s="13">
        <v>217</v>
      </c>
      <c r="B236" s="14" t="s">
        <v>242</v>
      </c>
      <c r="C236" s="15" t="s">
        <v>12</v>
      </c>
      <c r="D236" s="66">
        <f>SUM(6+20+30+10+40+20+50+10+20+6+20+30+25+60+20+10+8+20+5+10+12)</f>
        <v>432</v>
      </c>
      <c r="E236" s="77">
        <v>3</v>
      </c>
      <c r="F236" s="113">
        <v>3.66</v>
      </c>
      <c r="G236" s="12"/>
      <c r="H236" s="1"/>
    </row>
    <row r="237" spans="1:8" ht="15">
      <c r="A237" s="6">
        <v>218</v>
      </c>
      <c r="B237" s="14" t="s">
        <v>243</v>
      </c>
      <c r="C237" s="15" t="s">
        <v>12</v>
      </c>
      <c r="D237" s="66">
        <f>SUM(5+20+6+30+20+30+50+20+12+30+10+10+5+5+2)</f>
        <v>255</v>
      </c>
      <c r="E237" s="77">
        <v>0.8</v>
      </c>
      <c r="F237" s="113">
        <v>0.98</v>
      </c>
      <c r="G237" s="12"/>
      <c r="H237" s="1"/>
    </row>
    <row r="238" spans="1:8" s="21" customFormat="1" ht="15">
      <c r="A238" s="13">
        <v>219</v>
      </c>
      <c r="B238" s="14" t="s">
        <v>244</v>
      </c>
      <c r="C238" s="15" t="s">
        <v>12</v>
      </c>
      <c r="D238" s="62">
        <v>2</v>
      </c>
      <c r="E238" s="63">
        <v>15</v>
      </c>
      <c r="F238" s="113">
        <v>18.3</v>
      </c>
      <c r="G238" s="12"/>
      <c r="H238" s="1"/>
    </row>
    <row r="239" spans="1:8" s="21" customFormat="1" ht="15">
      <c r="A239" s="6">
        <v>220</v>
      </c>
      <c r="B239" s="14" t="s">
        <v>245</v>
      </c>
      <c r="C239" s="15" t="s">
        <v>12</v>
      </c>
      <c r="D239" s="62">
        <v>12</v>
      </c>
      <c r="E239" s="63">
        <v>39</v>
      </c>
      <c r="F239" s="113">
        <v>47.58</v>
      </c>
      <c r="G239" s="12"/>
      <c r="H239" s="1"/>
    </row>
    <row r="240" spans="1:8" ht="15">
      <c r="A240" s="13">
        <v>221</v>
      </c>
      <c r="B240" s="14" t="s">
        <v>246</v>
      </c>
      <c r="C240" s="15" t="s">
        <v>12</v>
      </c>
      <c r="D240" s="66">
        <f>SUM(10+100+2+5+60+350+200+80+50+40+30+15+72+20+30)</f>
        <v>1064</v>
      </c>
      <c r="E240" s="77">
        <v>5</v>
      </c>
      <c r="F240" s="113">
        <v>6.1</v>
      </c>
      <c r="G240" s="12"/>
      <c r="H240" s="1"/>
    </row>
    <row r="241" spans="1:8" ht="15">
      <c r="A241" s="6">
        <v>222</v>
      </c>
      <c r="B241" s="14" t="s">
        <v>247</v>
      </c>
      <c r="C241" s="15" t="s">
        <v>12</v>
      </c>
      <c r="D241" s="66">
        <f>SUM(2+4+60+6+40+150+15+2)</f>
        <v>279</v>
      </c>
      <c r="E241" s="77">
        <v>9</v>
      </c>
      <c r="F241" s="113">
        <v>10.98</v>
      </c>
      <c r="G241" s="12"/>
      <c r="H241" s="1"/>
    </row>
    <row r="242" spans="1:8" ht="15">
      <c r="A242" s="13">
        <v>223</v>
      </c>
      <c r="B242" s="14" t="s">
        <v>248</v>
      </c>
      <c r="C242" s="15" t="s">
        <v>12</v>
      </c>
      <c r="D242" s="66">
        <f>SUM(70+100+60+10)</f>
        <v>240</v>
      </c>
      <c r="E242" s="77">
        <v>7</v>
      </c>
      <c r="F242" s="113">
        <v>8.54</v>
      </c>
      <c r="G242" s="12"/>
      <c r="H242" s="1"/>
    </row>
    <row r="243" spans="1:8" ht="15">
      <c r="A243" s="13">
        <v>224</v>
      </c>
      <c r="B243" s="14" t="s">
        <v>249</v>
      </c>
      <c r="C243" s="15" t="s">
        <v>12</v>
      </c>
      <c r="D243" s="66">
        <f>SUM(50+13+10+40+15+25+6+1+2+10+10+10+6)</f>
        <v>198</v>
      </c>
      <c r="E243" s="77">
        <v>9</v>
      </c>
      <c r="F243" s="106">
        <v>10.98</v>
      </c>
      <c r="G243" s="12"/>
      <c r="H243" s="1"/>
    </row>
    <row r="244" spans="1:8" ht="15">
      <c r="A244" s="13">
        <v>225</v>
      </c>
      <c r="B244" s="14" t="s">
        <v>250</v>
      </c>
      <c r="C244" s="15" t="s">
        <v>12</v>
      </c>
      <c r="D244" s="66">
        <f>SUM(50+50+20+50+16+6+20+20+10)</f>
        <v>242</v>
      </c>
      <c r="E244" s="77">
        <v>36</v>
      </c>
      <c r="F244" s="113">
        <v>43.92</v>
      </c>
      <c r="G244" s="12"/>
      <c r="H244" s="1"/>
    </row>
    <row r="245" spans="1:8" ht="15">
      <c r="A245" s="6">
        <v>226</v>
      </c>
      <c r="B245" s="7" t="s">
        <v>251</v>
      </c>
      <c r="C245" s="8" t="s">
        <v>12</v>
      </c>
      <c r="D245" s="79">
        <f>SUM(4+15+13+8+6+15+40+14+15+15+10)</f>
        <v>155</v>
      </c>
      <c r="E245" s="77">
        <v>28</v>
      </c>
      <c r="F245" s="112">
        <v>34.16</v>
      </c>
      <c r="G245" s="12"/>
      <c r="H245" s="1"/>
    </row>
    <row r="246" spans="1:8" ht="15">
      <c r="A246" s="13">
        <v>227</v>
      </c>
      <c r="B246" s="14" t="s">
        <v>252</v>
      </c>
      <c r="C246" s="15" t="s">
        <v>12</v>
      </c>
      <c r="D246" s="66">
        <f>SUM(50+1+2+2+5+15+35+30+40+30+60+12+15+20+35+30+60+50+100+40+60+6+10+10+10+6+3+3+2)</f>
        <v>742</v>
      </c>
      <c r="E246" s="77">
        <v>5</v>
      </c>
      <c r="F246" s="113">
        <v>6.1</v>
      </c>
      <c r="G246" s="12"/>
      <c r="H246" s="1"/>
    </row>
    <row r="247" spans="1:8" ht="15">
      <c r="A247" s="6">
        <v>228</v>
      </c>
      <c r="B247" s="14" t="s">
        <v>253</v>
      </c>
      <c r="C247" s="15" t="s">
        <v>12</v>
      </c>
      <c r="D247" s="66">
        <f>SUM(20+20+30+30+30+20+20+30+60+60+60+3+12+10+10+5+20)</f>
        <v>440</v>
      </c>
      <c r="E247" s="77">
        <v>6.5</v>
      </c>
      <c r="F247" s="113">
        <v>7.93</v>
      </c>
      <c r="G247" s="12"/>
      <c r="H247" s="1"/>
    </row>
    <row r="248" spans="1:8" ht="15">
      <c r="A248" s="13">
        <v>229</v>
      </c>
      <c r="B248" s="14" t="s">
        <v>254</v>
      </c>
      <c r="C248" s="15" t="s">
        <v>12</v>
      </c>
      <c r="D248" s="66">
        <f>SUM(2+20+2+10+10+4+200+50+5+4+20)</f>
        <v>327</v>
      </c>
      <c r="E248" s="77">
        <v>9</v>
      </c>
      <c r="F248" s="113">
        <v>10.98</v>
      </c>
      <c r="G248" s="12"/>
      <c r="H248" s="1"/>
    </row>
    <row r="249" spans="1:8" ht="15">
      <c r="A249" s="6">
        <v>230</v>
      </c>
      <c r="B249" s="14" t="s">
        <v>255</v>
      </c>
      <c r="C249" s="15" t="s">
        <v>12</v>
      </c>
      <c r="D249" s="66">
        <f>SUM(3+3+10+15+20+20+15+10+10+15+12+30+16+5+6+13+6+4)</f>
        <v>213</v>
      </c>
      <c r="E249" s="77">
        <v>14</v>
      </c>
      <c r="F249" s="113">
        <v>17.08</v>
      </c>
      <c r="G249" s="12"/>
      <c r="H249" s="1"/>
    </row>
    <row r="250" spans="1:8" ht="15">
      <c r="A250" s="13">
        <v>231</v>
      </c>
      <c r="B250" s="14" t="s">
        <v>256</v>
      </c>
      <c r="C250" s="15" t="s">
        <v>12</v>
      </c>
      <c r="D250" s="66">
        <f>SUM(20+20+30+20+60+15)</f>
        <v>165</v>
      </c>
      <c r="E250" s="77">
        <v>2.5</v>
      </c>
      <c r="F250" s="113">
        <v>3.05</v>
      </c>
      <c r="G250" s="12"/>
      <c r="H250" s="1"/>
    </row>
    <row r="251" spans="1:8" ht="15">
      <c r="A251" s="6">
        <v>232</v>
      </c>
      <c r="B251" s="7" t="s">
        <v>257</v>
      </c>
      <c r="C251" s="8" t="s">
        <v>12</v>
      </c>
      <c r="D251" s="79">
        <f>SUM(2+3+6+20+30+30+20+20+20+20+30+200+20+30+5+5+1+16+20)</f>
        <v>498</v>
      </c>
      <c r="E251" s="10">
        <v>3</v>
      </c>
      <c r="F251" s="112">
        <v>3.66</v>
      </c>
      <c r="G251" s="12"/>
      <c r="H251" s="1"/>
    </row>
    <row r="252" spans="1:8" ht="15">
      <c r="A252" s="13">
        <v>233</v>
      </c>
      <c r="B252" s="14" t="s">
        <v>258</v>
      </c>
      <c r="C252" s="15" t="s">
        <v>12</v>
      </c>
      <c r="D252" s="66">
        <f>SUM(10+12)</f>
        <v>22</v>
      </c>
      <c r="E252" s="77">
        <v>2.5</v>
      </c>
      <c r="F252" s="113">
        <v>3.05</v>
      </c>
      <c r="G252" s="12"/>
      <c r="H252" s="1"/>
    </row>
    <row r="253" spans="1:8" ht="15">
      <c r="A253" s="6">
        <v>234</v>
      </c>
      <c r="B253" s="14" t="s">
        <v>259</v>
      </c>
      <c r="C253" s="15" t="s">
        <v>12</v>
      </c>
      <c r="D253" s="66">
        <f>SUM(10+12+10+50+30+10+6+13)</f>
        <v>141</v>
      </c>
      <c r="E253" s="77">
        <v>3.5</v>
      </c>
      <c r="F253" s="106">
        <v>4.27</v>
      </c>
      <c r="G253" s="12"/>
      <c r="H253" s="1"/>
    </row>
    <row r="254" spans="1:8" ht="15">
      <c r="A254" s="13">
        <v>235</v>
      </c>
      <c r="B254" s="7" t="s">
        <v>260</v>
      </c>
      <c r="C254" s="8" t="s">
        <v>12</v>
      </c>
      <c r="D254" s="79">
        <f>SUM(10+30+10+50+60)</f>
        <v>160</v>
      </c>
      <c r="E254" s="10">
        <v>3</v>
      </c>
      <c r="F254" s="109">
        <v>3.66</v>
      </c>
      <c r="G254" s="12"/>
      <c r="H254" s="1"/>
    </row>
    <row r="255" spans="1:8" ht="15">
      <c r="A255" s="6">
        <v>236</v>
      </c>
      <c r="B255" s="14" t="s">
        <v>261</v>
      </c>
      <c r="C255" s="15" t="s">
        <v>12</v>
      </c>
      <c r="D255" s="66">
        <f>SUM(1+2+3+2+1+5+3+2+3+1+5+15+20+20+40+50+15+15+2+20+200+60+30+25+5+6+6+15+12+10+50+14+14+8)</f>
        <v>680</v>
      </c>
      <c r="E255" s="77">
        <v>4.5</v>
      </c>
      <c r="F255" s="113">
        <v>5.49</v>
      </c>
      <c r="G255" s="12"/>
      <c r="H255" s="1"/>
    </row>
    <row r="256" spans="1:8" ht="15">
      <c r="A256" s="13">
        <v>237</v>
      </c>
      <c r="B256" s="14" t="s">
        <v>262</v>
      </c>
      <c r="C256" s="15" t="s">
        <v>12</v>
      </c>
      <c r="D256" s="66">
        <f>SUM(3+20+10+10+10+5)</f>
        <v>58</v>
      </c>
      <c r="E256" s="77">
        <v>7</v>
      </c>
      <c r="F256" s="113">
        <v>8.54</v>
      </c>
      <c r="G256" s="12"/>
      <c r="H256" s="1"/>
    </row>
    <row r="257" spans="1:8" ht="15">
      <c r="A257" s="6">
        <v>238</v>
      </c>
      <c r="B257" s="14" t="s">
        <v>263</v>
      </c>
      <c r="C257" s="15" t="s">
        <v>12</v>
      </c>
      <c r="D257" s="66">
        <f>SUM(2+5+5)</f>
        <v>12</v>
      </c>
      <c r="E257" s="77">
        <v>45</v>
      </c>
      <c r="F257" s="113">
        <v>54.9</v>
      </c>
      <c r="G257" s="12"/>
      <c r="H257" s="1"/>
    </row>
    <row r="258" spans="1:8" ht="15">
      <c r="A258" s="13">
        <v>239</v>
      </c>
      <c r="B258" s="14" t="s">
        <v>264</v>
      </c>
      <c r="C258" s="15" t="s">
        <v>12</v>
      </c>
      <c r="D258" s="66">
        <f>SUM(15+20+15+15+20)</f>
        <v>85</v>
      </c>
      <c r="E258" s="77">
        <v>12</v>
      </c>
      <c r="F258" s="113">
        <v>14.64</v>
      </c>
      <c r="G258" s="12"/>
      <c r="H258" s="1"/>
    </row>
    <row r="259" spans="1:8" ht="15">
      <c r="A259" s="6">
        <v>240</v>
      </c>
      <c r="B259" s="14" t="s">
        <v>265</v>
      </c>
      <c r="C259" s="15" t="s">
        <v>12</v>
      </c>
      <c r="D259" s="66">
        <f>SUM(6+3+2+10+25+20+5+20+4+3+5+10+30)</f>
        <v>143</v>
      </c>
      <c r="E259" s="77">
        <v>12</v>
      </c>
      <c r="F259" s="113">
        <v>14.64</v>
      </c>
      <c r="G259" s="12"/>
      <c r="H259" s="1"/>
    </row>
    <row r="260" spans="1:8" ht="15">
      <c r="A260" s="13">
        <v>241</v>
      </c>
      <c r="B260" s="39" t="s">
        <v>266</v>
      </c>
      <c r="C260" s="24" t="s">
        <v>12</v>
      </c>
      <c r="D260" s="75">
        <f>SUM(1+5+2+10+5+1)</f>
        <v>24</v>
      </c>
      <c r="E260" s="87">
        <v>5</v>
      </c>
      <c r="F260" s="114">
        <v>6.1</v>
      </c>
      <c r="G260" s="12"/>
      <c r="H260" s="1"/>
    </row>
    <row r="261" spans="1:8" ht="15">
      <c r="A261" s="6">
        <v>242</v>
      </c>
      <c r="B261" s="14" t="s">
        <v>267</v>
      </c>
      <c r="C261" s="15" t="s">
        <v>12</v>
      </c>
      <c r="D261" s="66">
        <f>SUM(1+4+8+1+20+5+4+20)</f>
        <v>63</v>
      </c>
      <c r="E261" s="77">
        <v>7</v>
      </c>
      <c r="F261" s="113">
        <v>8.54</v>
      </c>
      <c r="G261" s="12"/>
      <c r="H261" s="1"/>
    </row>
    <row r="262" spans="1:8" ht="15">
      <c r="A262" s="13">
        <v>243</v>
      </c>
      <c r="B262" s="14" t="s">
        <v>268</v>
      </c>
      <c r="C262" s="15" t="s">
        <v>12</v>
      </c>
      <c r="D262" s="66">
        <f>SUM(5+10+5+5+15+6)</f>
        <v>46</v>
      </c>
      <c r="E262" s="77">
        <v>8.5</v>
      </c>
      <c r="F262" s="106">
        <v>10.37</v>
      </c>
      <c r="G262" s="12"/>
      <c r="H262" s="1"/>
    </row>
    <row r="263" spans="1:8" ht="15">
      <c r="A263" s="6">
        <v>244</v>
      </c>
      <c r="B263" s="7" t="s">
        <v>269</v>
      </c>
      <c r="C263" s="8" t="s">
        <v>12</v>
      </c>
      <c r="D263" s="79">
        <f>SUM(1+2+1+1+80)</f>
        <v>85</v>
      </c>
      <c r="E263" s="10">
        <v>11</v>
      </c>
      <c r="F263" s="112">
        <v>13.42</v>
      </c>
      <c r="G263" s="12"/>
      <c r="H263" s="1"/>
    </row>
    <row r="264" spans="1:8" ht="15">
      <c r="A264" s="13">
        <v>245</v>
      </c>
      <c r="B264" s="14" t="s">
        <v>270</v>
      </c>
      <c r="C264" s="15" t="s">
        <v>12</v>
      </c>
      <c r="D264" s="66">
        <f>SUM(1+140+30+60+60+6+10+5+5+3)</f>
        <v>320</v>
      </c>
      <c r="E264" s="77">
        <v>10</v>
      </c>
      <c r="F264" s="113">
        <v>12.2</v>
      </c>
      <c r="G264" s="12"/>
      <c r="H264" s="1"/>
    </row>
    <row r="265" spans="1:8" ht="15">
      <c r="A265" s="6">
        <v>246</v>
      </c>
      <c r="B265" s="14" t="s">
        <v>271</v>
      </c>
      <c r="C265" s="15" t="s">
        <v>12</v>
      </c>
      <c r="D265" s="66">
        <f>SUM(2+5+15+15+15+4)</f>
        <v>56</v>
      </c>
      <c r="E265" s="77">
        <v>8.5</v>
      </c>
      <c r="F265" s="113">
        <v>10.37</v>
      </c>
      <c r="G265" s="12"/>
      <c r="H265" s="1"/>
    </row>
    <row r="266" spans="1:8" ht="15">
      <c r="A266" s="13">
        <v>247</v>
      </c>
      <c r="B266" s="14" t="s">
        <v>272</v>
      </c>
      <c r="C266" s="15" t="s">
        <v>12</v>
      </c>
      <c r="D266" s="66">
        <f>SUM(6+2+1+2+5+5+2)</f>
        <v>23</v>
      </c>
      <c r="E266" s="77">
        <v>15</v>
      </c>
      <c r="F266" s="113">
        <v>18.3</v>
      </c>
      <c r="G266" s="12"/>
      <c r="H266" s="1"/>
    </row>
    <row r="267" spans="1:8" ht="15">
      <c r="A267" s="6">
        <v>248</v>
      </c>
      <c r="B267" s="14" t="s">
        <v>273</v>
      </c>
      <c r="C267" s="15" t="s">
        <v>12</v>
      </c>
      <c r="D267" s="66">
        <f>SUM(6+5+3)</f>
        <v>14</v>
      </c>
      <c r="E267" s="77">
        <v>39.5</v>
      </c>
      <c r="F267" s="113">
        <v>48.19</v>
      </c>
      <c r="G267" s="12"/>
      <c r="H267" s="1"/>
    </row>
    <row r="268" spans="1:8" ht="15">
      <c r="A268" s="13">
        <v>249</v>
      </c>
      <c r="B268" s="14" t="s">
        <v>274</v>
      </c>
      <c r="C268" s="15" t="s">
        <v>12</v>
      </c>
      <c r="D268" s="66">
        <f>SUM(1+6+5+20+40+20+4+5+40+20+3+15+10+10+3+1+8)</f>
        <v>211</v>
      </c>
      <c r="E268" s="77">
        <v>9</v>
      </c>
      <c r="F268" s="113">
        <v>10.98</v>
      </c>
      <c r="G268" s="12"/>
      <c r="H268" s="1"/>
    </row>
    <row r="269" spans="1:8" ht="15">
      <c r="A269" s="6">
        <v>250</v>
      </c>
      <c r="B269" s="14" t="s">
        <v>275</v>
      </c>
      <c r="C269" s="15" t="s">
        <v>12</v>
      </c>
      <c r="D269" s="66">
        <f>SUM(20+2+5+5+3)</f>
        <v>35</v>
      </c>
      <c r="E269" s="77">
        <v>8</v>
      </c>
      <c r="F269" s="113">
        <v>9.76</v>
      </c>
      <c r="G269" s="12"/>
      <c r="H269" s="1"/>
    </row>
    <row r="270" spans="1:8" ht="15">
      <c r="A270" s="13">
        <v>251</v>
      </c>
      <c r="B270" s="14" t="s">
        <v>276</v>
      </c>
      <c r="C270" s="15" t="s">
        <v>12</v>
      </c>
      <c r="D270" s="66">
        <f>SUM(5+20+20+2)</f>
        <v>47</v>
      </c>
      <c r="E270" s="77">
        <v>4</v>
      </c>
      <c r="F270" s="113">
        <v>4.88</v>
      </c>
      <c r="G270" s="12"/>
      <c r="H270" s="1"/>
    </row>
    <row r="271" spans="1:8" ht="15">
      <c r="A271" s="6">
        <v>252</v>
      </c>
      <c r="B271" s="14" t="s">
        <v>277</v>
      </c>
      <c r="C271" s="15" t="s">
        <v>12</v>
      </c>
      <c r="D271" s="66">
        <f>SUM(5+20+20+20+20+10)</f>
        <v>95</v>
      </c>
      <c r="E271" s="77">
        <v>4</v>
      </c>
      <c r="F271" s="113">
        <v>4.88</v>
      </c>
      <c r="G271" s="12"/>
      <c r="H271" s="1"/>
    </row>
    <row r="272" spans="1:8" ht="15">
      <c r="A272" s="13">
        <v>253</v>
      </c>
      <c r="B272" s="14" t="s">
        <v>278</v>
      </c>
      <c r="C272" s="15" t="s">
        <v>12</v>
      </c>
      <c r="D272" s="66">
        <f>SUM(70+20+26+10+20+8+24)</f>
        <v>178</v>
      </c>
      <c r="E272" s="77">
        <v>15</v>
      </c>
      <c r="F272" s="113">
        <v>18.3</v>
      </c>
      <c r="G272" s="12"/>
      <c r="H272" s="1"/>
    </row>
    <row r="273" spans="1:8" ht="15">
      <c r="A273" s="6">
        <v>254</v>
      </c>
      <c r="B273" s="14" t="s">
        <v>279</v>
      </c>
      <c r="C273" s="15" t="s">
        <v>12</v>
      </c>
      <c r="D273" s="66">
        <f>SUM(10+26+5+10+10)</f>
        <v>61</v>
      </c>
      <c r="E273" s="77">
        <v>20</v>
      </c>
      <c r="F273" s="113">
        <v>24.4</v>
      </c>
      <c r="G273" s="12"/>
      <c r="H273" s="1"/>
    </row>
    <row r="274" spans="1:8" ht="15">
      <c r="A274" s="13">
        <v>255</v>
      </c>
      <c r="B274" s="14" t="s">
        <v>280</v>
      </c>
      <c r="C274" s="15" t="s">
        <v>12</v>
      </c>
      <c r="D274" s="66">
        <f>SUM(13)</f>
        <v>13</v>
      </c>
      <c r="E274" s="77">
        <v>95</v>
      </c>
      <c r="F274" s="113">
        <v>115.9</v>
      </c>
      <c r="G274" s="12"/>
      <c r="H274" s="1"/>
    </row>
    <row r="275" spans="1:8" ht="15">
      <c r="A275" s="6">
        <v>256</v>
      </c>
      <c r="B275" s="14" t="s">
        <v>281</v>
      </c>
      <c r="C275" s="15" t="s">
        <v>12</v>
      </c>
      <c r="D275" s="66">
        <f>SUM(20+5+30+5+30)</f>
        <v>90</v>
      </c>
      <c r="E275" s="77">
        <v>19</v>
      </c>
      <c r="F275" s="113">
        <v>23.18</v>
      </c>
      <c r="G275" s="12"/>
      <c r="H275" s="1"/>
    </row>
    <row r="276" spans="1:8" ht="15">
      <c r="A276" s="13">
        <v>257</v>
      </c>
      <c r="B276" s="14" t="s">
        <v>282</v>
      </c>
      <c r="C276" s="15" t="s">
        <v>12</v>
      </c>
      <c r="D276" s="66">
        <f>SUM(20+5+30+4+5+30+8+10)</f>
        <v>112</v>
      </c>
      <c r="E276" s="77">
        <v>22</v>
      </c>
      <c r="F276" s="113">
        <v>26.84</v>
      </c>
      <c r="G276" s="12"/>
      <c r="H276" s="1"/>
    </row>
    <row r="277" spans="1:8" ht="15">
      <c r="A277" s="6">
        <v>258</v>
      </c>
      <c r="B277" s="14" t="s">
        <v>283</v>
      </c>
      <c r="C277" s="15" t="s">
        <v>12</v>
      </c>
      <c r="D277" s="66">
        <f>SUM(2+3+1+1+10+8+20+5+1+2+6)</f>
        <v>59</v>
      </c>
      <c r="E277" s="77">
        <v>7</v>
      </c>
      <c r="F277" s="113">
        <v>8.54</v>
      </c>
      <c r="G277" s="12"/>
      <c r="H277" s="1"/>
    </row>
    <row r="278" spans="1:8" ht="15">
      <c r="A278" s="13">
        <v>259</v>
      </c>
      <c r="B278" s="14" t="s">
        <v>284</v>
      </c>
      <c r="C278" s="15" t="s">
        <v>12</v>
      </c>
      <c r="D278" s="66">
        <f>SUM(5+2+3+1+15+20+3+1+3)</f>
        <v>53</v>
      </c>
      <c r="E278" s="77">
        <v>8</v>
      </c>
      <c r="F278" s="113">
        <v>9.76</v>
      </c>
      <c r="G278" s="12"/>
      <c r="H278" s="1"/>
    </row>
    <row r="279" spans="1:8" ht="15">
      <c r="A279" s="6">
        <v>260</v>
      </c>
      <c r="B279" s="14" t="s">
        <v>285</v>
      </c>
      <c r="C279" s="15" t="s">
        <v>12</v>
      </c>
      <c r="D279" s="66">
        <f>SUM(5+2+10+2+3+1+1+5+4+20+3+1+4+2+2)</f>
        <v>65</v>
      </c>
      <c r="E279" s="77">
        <v>9</v>
      </c>
      <c r="F279" s="113">
        <v>10.98</v>
      </c>
      <c r="G279" s="12"/>
      <c r="H279" s="1"/>
    </row>
    <row r="280" spans="1:8" ht="15">
      <c r="A280" s="13">
        <v>261</v>
      </c>
      <c r="B280" s="14" t="s">
        <v>286</v>
      </c>
      <c r="C280" s="15" t="s">
        <v>12</v>
      </c>
      <c r="D280" s="66">
        <f>SUM(5+2+2+3+1+5+2+10+3+1+1)</f>
        <v>35</v>
      </c>
      <c r="E280" s="77">
        <v>10</v>
      </c>
      <c r="F280" s="113">
        <v>12.2</v>
      </c>
      <c r="G280" s="12"/>
      <c r="H280" s="1"/>
    </row>
    <row r="281" spans="1:8" ht="15">
      <c r="A281" s="6">
        <v>262</v>
      </c>
      <c r="B281" s="14" t="s">
        <v>287</v>
      </c>
      <c r="C281" s="15" t="s">
        <v>12</v>
      </c>
      <c r="D281" s="66">
        <f>SUM(5+2+5+3+5+4+20+3+1+2)</f>
        <v>50</v>
      </c>
      <c r="E281" s="77">
        <v>6</v>
      </c>
      <c r="F281" s="113">
        <v>7.32</v>
      </c>
      <c r="G281" s="12"/>
      <c r="H281" s="1"/>
    </row>
    <row r="282" spans="1:8" ht="15">
      <c r="A282" s="13">
        <v>263</v>
      </c>
      <c r="B282" s="14" t="s">
        <v>288</v>
      </c>
      <c r="C282" s="15" t="s">
        <v>236</v>
      </c>
      <c r="D282" s="66">
        <f>SUM(2+2+1+2+2+5+1+1+2+4)</f>
        <v>22</v>
      </c>
      <c r="E282" s="77">
        <v>9</v>
      </c>
      <c r="F282" s="113">
        <v>10.98</v>
      </c>
      <c r="G282" s="12"/>
      <c r="H282" s="1"/>
    </row>
    <row r="283" spans="1:8" ht="15">
      <c r="A283" s="6">
        <v>264</v>
      </c>
      <c r="B283" s="14" t="s">
        <v>289</v>
      </c>
      <c r="C283" s="15" t="s">
        <v>236</v>
      </c>
      <c r="D283" s="66">
        <f>SUM(84+80)</f>
        <v>164</v>
      </c>
      <c r="E283" s="77">
        <v>9</v>
      </c>
      <c r="F283" s="113">
        <v>10.98</v>
      </c>
      <c r="G283" s="12"/>
      <c r="H283" s="1"/>
    </row>
    <row r="284" spans="1:8" ht="15">
      <c r="A284" s="13">
        <v>265</v>
      </c>
      <c r="B284" s="14" t="s">
        <v>290</v>
      </c>
      <c r="C284" s="15" t="s">
        <v>12</v>
      </c>
      <c r="D284" s="66">
        <f>SUM(5+5+2+2+5+2+4+10+2+3+2+2+4+30+10)</f>
        <v>88</v>
      </c>
      <c r="E284" s="77">
        <v>4.2</v>
      </c>
      <c r="F284" s="113">
        <v>5.12</v>
      </c>
      <c r="G284" s="12"/>
      <c r="H284" s="1"/>
    </row>
    <row r="285" spans="1:8" ht="15">
      <c r="A285" s="6">
        <v>266</v>
      </c>
      <c r="B285" s="14" t="s">
        <v>291</v>
      </c>
      <c r="C285" s="15" t="s">
        <v>12</v>
      </c>
      <c r="D285" s="66">
        <f>SUM(2+30+2+2+2+20+20+40+20+20+15+40)</f>
        <v>213</v>
      </c>
      <c r="E285" s="77">
        <v>1.5</v>
      </c>
      <c r="F285" s="113">
        <v>1.83</v>
      </c>
      <c r="G285" s="12"/>
      <c r="H285" s="1"/>
    </row>
    <row r="286" spans="1:8" ht="15">
      <c r="A286" s="13">
        <v>267</v>
      </c>
      <c r="B286" s="14" t="s">
        <v>292</v>
      </c>
      <c r="C286" s="15" t="s">
        <v>12</v>
      </c>
      <c r="D286" s="66">
        <f>SUM(10+3+5+3+10+10+20+20+20+20+6+1)</f>
        <v>128</v>
      </c>
      <c r="E286" s="77">
        <v>15</v>
      </c>
      <c r="F286" s="113">
        <v>18.3</v>
      </c>
      <c r="G286" s="12"/>
      <c r="H286" s="1"/>
    </row>
    <row r="287" spans="1:8" ht="15">
      <c r="A287" s="6">
        <v>268</v>
      </c>
      <c r="B287" s="14" t="s">
        <v>293</v>
      </c>
      <c r="C287" s="15" t="s">
        <v>12</v>
      </c>
      <c r="D287" s="66">
        <f>SUM(5+2+8+10+8+4+10+30+20+10+30+10+20)</f>
        <v>167</v>
      </c>
      <c r="E287" s="77">
        <v>6.5</v>
      </c>
      <c r="F287" s="113">
        <v>7.93</v>
      </c>
      <c r="G287" s="12"/>
      <c r="H287" s="1"/>
    </row>
    <row r="288" spans="1:8" ht="15">
      <c r="A288" s="13">
        <v>269</v>
      </c>
      <c r="B288" s="14" t="s">
        <v>294</v>
      </c>
      <c r="C288" s="15" t="s">
        <v>12</v>
      </c>
      <c r="D288" s="66">
        <f>SUM(10+4+10+4+50+8+2+12+5+10+5+10+5+4+3+20+10+25+20+15+8)</f>
        <v>240</v>
      </c>
      <c r="E288" s="77">
        <v>6</v>
      </c>
      <c r="F288" s="113">
        <v>7.32</v>
      </c>
      <c r="G288" s="12"/>
      <c r="H288" s="1"/>
    </row>
    <row r="289" spans="1:8" ht="15">
      <c r="A289" s="13">
        <v>270</v>
      </c>
      <c r="B289" s="14" t="s">
        <v>295</v>
      </c>
      <c r="C289" s="15" t="s">
        <v>12</v>
      </c>
      <c r="D289" s="66">
        <f>SUM(2+2+2+40+15+10)</f>
        <v>71</v>
      </c>
      <c r="E289" s="77">
        <v>6.5</v>
      </c>
      <c r="F289" s="113">
        <v>7.93</v>
      </c>
      <c r="G289" s="12"/>
      <c r="H289" s="1"/>
    </row>
    <row r="290" spans="1:8" ht="30" customHeight="1">
      <c r="A290" s="13">
        <v>271</v>
      </c>
      <c r="B290" s="120" t="s">
        <v>296</v>
      </c>
      <c r="C290" s="15" t="s">
        <v>12</v>
      </c>
      <c r="D290" s="66">
        <f>SUM(20+50+50+80+25)</f>
        <v>225</v>
      </c>
      <c r="E290" s="77">
        <v>5</v>
      </c>
      <c r="F290" s="113">
        <v>6.1</v>
      </c>
      <c r="G290" s="12"/>
      <c r="H290" s="1"/>
    </row>
    <row r="291" spans="1:8" ht="15">
      <c r="A291" s="6">
        <v>272</v>
      </c>
      <c r="B291" s="14" t="s">
        <v>297</v>
      </c>
      <c r="C291" s="15" t="s">
        <v>12</v>
      </c>
      <c r="D291" s="66">
        <f>SUM(5+50+2+4+20+30+20+12+20+30+5+30+58)</f>
        <v>286</v>
      </c>
      <c r="E291" s="77">
        <v>6</v>
      </c>
      <c r="F291" s="113">
        <v>7.32</v>
      </c>
      <c r="G291" s="12"/>
      <c r="H291" s="1"/>
    </row>
    <row r="292" spans="1:8" ht="15.75">
      <c r="A292" s="13">
        <v>273</v>
      </c>
      <c r="B292" s="88" t="s">
        <v>298</v>
      </c>
      <c r="C292" s="8" t="s">
        <v>12</v>
      </c>
      <c r="D292" s="89">
        <v>10</v>
      </c>
      <c r="E292" s="63">
        <v>16</v>
      </c>
      <c r="F292" s="113">
        <v>19.52</v>
      </c>
      <c r="G292" s="12"/>
      <c r="H292" s="1"/>
    </row>
    <row r="293" spans="1:8" ht="15">
      <c r="A293" s="6">
        <v>274</v>
      </c>
      <c r="B293" s="7" t="s">
        <v>299</v>
      </c>
      <c r="C293" s="8" t="s">
        <v>12</v>
      </c>
      <c r="D293" s="89">
        <f>SUM(10+4+10+20+2)</f>
        <v>46</v>
      </c>
      <c r="E293" s="63">
        <v>14</v>
      </c>
      <c r="F293" s="112">
        <v>17.08</v>
      </c>
      <c r="G293" s="12"/>
      <c r="H293" s="1"/>
    </row>
    <row r="294" spans="1:8" ht="15">
      <c r="A294" s="13">
        <v>275</v>
      </c>
      <c r="B294" s="14" t="s">
        <v>300</v>
      </c>
      <c r="C294" s="15" t="s">
        <v>12</v>
      </c>
      <c r="D294" s="62">
        <f>SUM(10+10+12+3+4)</f>
        <v>39</v>
      </c>
      <c r="E294" s="63">
        <v>14</v>
      </c>
      <c r="F294" s="113">
        <v>17.08</v>
      </c>
      <c r="G294" s="12"/>
      <c r="H294" s="1"/>
    </row>
    <row r="295" spans="1:8" ht="15">
      <c r="A295" s="6">
        <v>276</v>
      </c>
      <c r="B295" s="14" t="s">
        <v>301</v>
      </c>
      <c r="C295" s="15" t="s">
        <v>12</v>
      </c>
      <c r="D295" s="62">
        <f>SUM(6+5+10+5+2)</f>
        <v>28</v>
      </c>
      <c r="E295" s="63">
        <v>15</v>
      </c>
      <c r="F295" s="113">
        <v>18.3</v>
      </c>
      <c r="G295" s="12"/>
      <c r="H295" s="1"/>
    </row>
    <row r="296" spans="1:8" ht="30">
      <c r="A296" s="13">
        <v>277</v>
      </c>
      <c r="B296" s="14" t="s">
        <v>302</v>
      </c>
      <c r="C296" s="15" t="s">
        <v>12</v>
      </c>
      <c r="D296" s="62">
        <f>SUM(200+3+2+28+22+20+20+20+12+40+2+10+2+1+1+1)</f>
        <v>384</v>
      </c>
      <c r="E296" s="63">
        <v>6.6</v>
      </c>
      <c r="F296" s="113">
        <v>8.05</v>
      </c>
      <c r="G296" s="12"/>
      <c r="H296" s="1"/>
    </row>
    <row r="297" spans="1:8" ht="30">
      <c r="A297" s="6">
        <v>278</v>
      </c>
      <c r="B297" s="14" t="s">
        <v>303</v>
      </c>
      <c r="C297" s="15" t="s">
        <v>12</v>
      </c>
      <c r="D297" s="62">
        <f>SUM(3+8+10+50+25+12+20+40+1+1+1)</f>
        <v>171</v>
      </c>
      <c r="E297" s="63">
        <v>1.4</v>
      </c>
      <c r="F297" s="113">
        <v>1.71</v>
      </c>
      <c r="G297" s="12"/>
      <c r="H297" s="1"/>
    </row>
    <row r="298" spans="1:8" ht="15">
      <c r="A298" s="13">
        <v>279</v>
      </c>
      <c r="B298" s="7" t="s">
        <v>304</v>
      </c>
      <c r="C298" s="8" t="s">
        <v>12</v>
      </c>
      <c r="D298" s="89">
        <f>SUM(4+4+10+2+12)</f>
        <v>32</v>
      </c>
      <c r="E298" s="86">
        <v>25</v>
      </c>
      <c r="F298" s="112">
        <v>30.5</v>
      </c>
      <c r="G298" s="12"/>
      <c r="H298" s="1"/>
    </row>
    <row r="299" spans="1:8" ht="15">
      <c r="A299" s="6">
        <v>280</v>
      </c>
      <c r="B299" s="14" t="s">
        <v>305</v>
      </c>
      <c r="C299" s="15" t="s">
        <v>12</v>
      </c>
      <c r="D299" s="62">
        <v>12</v>
      </c>
      <c r="E299" s="63">
        <v>29</v>
      </c>
      <c r="F299" s="106">
        <v>35.38</v>
      </c>
      <c r="G299" s="12"/>
      <c r="H299" s="1"/>
    </row>
    <row r="300" spans="1:8" ht="15">
      <c r="A300" s="13">
        <v>281</v>
      </c>
      <c r="B300" s="7" t="s">
        <v>306</v>
      </c>
      <c r="C300" s="8" t="s">
        <v>12</v>
      </c>
      <c r="D300" s="79">
        <f>SUM(2+1+1+1+2+1+3+1+1+1+1+3)</f>
        <v>18</v>
      </c>
      <c r="E300" s="10">
        <v>4</v>
      </c>
      <c r="F300" s="109">
        <v>4.88</v>
      </c>
      <c r="G300" s="12"/>
      <c r="H300" s="1"/>
    </row>
    <row r="301" spans="1:8" ht="15">
      <c r="A301" s="6">
        <v>282</v>
      </c>
      <c r="B301" s="14" t="s">
        <v>307</v>
      </c>
      <c r="C301" s="15" t="s">
        <v>12</v>
      </c>
      <c r="D301" s="66">
        <f>SUM(20+3+1+1+1+3+3)</f>
        <v>32</v>
      </c>
      <c r="E301" s="77">
        <v>5</v>
      </c>
      <c r="F301" s="113">
        <v>6.1</v>
      </c>
      <c r="G301" s="12"/>
      <c r="H301" s="1"/>
    </row>
    <row r="302" spans="1:8" ht="15">
      <c r="A302" s="13">
        <v>283</v>
      </c>
      <c r="B302" s="14" t="s">
        <v>308</v>
      </c>
      <c r="C302" s="15" t="s">
        <v>12</v>
      </c>
      <c r="D302" s="66">
        <f>SUM(1)</f>
        <v>1</v>
      </c>
      <c r="E302" s="77">
        <v>4</v>
      </c>
      <c r="F302" s="113">
        <v>4.88</v>
      </c>
      <c r="G302" s="12"/>
      <c r="H302" s="1"/>
    </row>
    <row r="303" spans="1:8" ht="15">
      <c r="A303" s="6">
        <v>284</v>
      </c>
      <c r="B303" s="14" t="s">
        <v>309</v>
      </c>
      <c r="C303" s="15" t="s">
        <v>12</v>
      </c>
      <c r="D303" s="66">
        <f>SUM(3+20+10+100+20+50+10+20+10+8+5)</f>
        <v>256</v>
      </c>
      <c r="E303" s="77">
        <v>10</v>
      </c>
      <c r="F303" s="113">
        <v>12.2</v>
      </c>
      <c r="G303" s="12"/>
      <c r="H303" s="1"/>
    </row>
    <row r="304" spans="1:8" ht="15">
      <c r="A304" s="13">
        <v>285</v>
      </c>
      <c r="B304" s="90" t="s">
        <v>310</v>
      </c>
      <c r="C304" s="24" t="s">
        <v>12</v>
      </c>
      <c r="D304" s="66">
        <f>SUM(10+30+5)</f>
        <v>45</v>
      </c>
      <c r="E304" s="77">
        <v>4</v>
      </c>
      <c r="F304" s="114">
        <v>4.88</v>
      </c>
      <c r="G304" s="12"/>
      <c r="H304" s="1"/>
    </row>
    <row r="305" spans="1:8" ht="15">
      <c r="A305" s="6">
        <v>286</v>
      </c>
      <c r="B305" s="90" t="s">
        <v>311</v>
      </c>
      <c r="C305" s="24" t="s">
        <v>12</v>
      </c>
      <c r="D305" s="62">
        <v>14</v>
      </c>
      <c r="E305" s="63">
        <v>20</v>
      </c>
      <c r="F305" s="114">
        <v>24.4</v>
      </c>
      <c r="G305" s="12"/>
      <c r="H305" s="1"/>
    </row>
    <row r="306" spans="1:8" ht="15">
      <c r="A306" s="13">
        <v>287</v>
      </c>
      <c r="B306" s="90" t="s">
        <v>312</v>
      </c>
      <c r="C306" s="24" t="s">
        <v>12</v>
      </c>
      <c r="D306" s="66">
        <f>SUM(100)</f>
        <v>100</v>
      </c>
      <c r="E306" s="77">
        <v>2</v>
      </c>
      <c r="F306" s="114">
        <v>2.44</v>
      </c>
      <c r="G306" s="12"/>
      <c r="H306" s="1"/>
    </row>
    <row r="307" spans="1:8" ht="15">
      <c r="A307" s="6">
        <v>288</v>
      </c>
      <c r="B307" s="90" t="s">
        <v>313</v>
      </c>
      <c r="C307" s="24" t="s">
        <v>12</v>
      </c>
      <c r="D307" s="66">
        <f>SUM(100+50+80+50)</f>
        <v>280</v>
      </c>
      <c r="E307" s="77">
        <v>6</v>
      </c>
      <c r="F307" s="114">
        <v>7.32</v>
      </c>
      <c r="G307" s="12"/>
      <c r="H307" s="1"/>
    </row>
    <row r="308" spans="1:8" ht="15">
      <c r="A308" s="13">
        <v>289</v>
      </c>
      <c r="B308" s="90" t="s">
        <v>314</v>
      </c>
      <c r="C308" s="24" t="s">
        <v>12</v>
      </c>
      <c r="D308" s="66">
        <f>SUM(50+50)</f>
        <v>100</v>
      </c>
      <c r="E308" s="77">
        <v>4</v>
      </c>
      <c r="F308" s="114">
        <v>4.88</v>
      </c>
      <c r="G308" s="12"/>
      <c r="H308" s="1"/>
    </row>
    <row r="309" spans="1:8" ht="15">
      <c r="A309" s="6">
        <v>290</v>
      </c>
      <c r="B309" s="90" t="s">
        <v>315</v>
      </c>
      <c r="C309" s="24" t="s">
        <v>12</v>
      </c>
      <c r="D309" s="91">
        <f>SUM(10+50+50+10+20)</f>
        <v>140</v>
      </c>
      <c r="E309" s="92">
        <v>2</v>
      </c>
      <c r="F309" s="114">
        <v>2.44</v>
      </c>
      <c r="G309" s="12"/>
      <c r="H309" s="1"/>
    </row>
    <row r="310" spans="1:8" ht="15">
      <c r="A310" s="13">
        <v>291</v>
      </c>
      <c r="B310" s="14" t="s">
        <v>316</v>
      </c>
      <c r="C310" s="15" t="s">
        <v>12</v>
      </c>
      <c r="D310" s="62">
        <f>SUM(10+20+5)</f>
        <v>35</v>
      </c>
      <c r="E310" s="63">
        <v>4</v>
      </c>
      <c r="F310" s="106">
        <v>4.88</v>
      </c>
      <c r="G310" s="12"/>
      <c r="H310" s="1"/>
    </row>
    <row r="311" spans="1:8" ht="15">
      <c r="A311" s="6">
        <v>292</v>
      </c>
      <c r="B311" s="41" t="s">
        <v>317</v>
      </c>
      <c r="C311" s="15" t="s">
        <v>12</v>
      </c>
      <c r="D311" s="62">
        <v>3</v>
      </c>
      <c r="E311" s="63">
        <v>10</v>
      </c>
      <c r="F311" s="106">
        <v>12.2</v>
      </c>
      <c r="G311" s="12"/>
      <c r="H311" s="1"/>
    </row>
    <row r="312" spans="1:8" ht="15">
      <c r="A312" s="13">
        <v>293</v>
      </c>
      <c r="B312" s="41" t="s">
        <v>318</v>
      </c>
      <c r="C312" s="15" t="s">
        <v>12</v>
      </c>
      <c r="D312" s="62">
        <v>3</v>
      </c>
      <c r="E312" s="63">
        <v>20</v>
      </c>
      <c r="F312" s="113">
        <v>24.4</v>
      </c>
      <c r="G312" s="12"/>
      <c r="H312" s="1"/>
    </row>
    <row r="313" spans="1:8" ht="15">
      <c r="A313" s="13">
        <v>294</v>
      </c>
      <c r="B313" s="14" t="s">
        <v>319</v>
      </c>
      <c r="C313" s="15" t="s">
        <v>12</v>
      </c>
      <c r="D313" s="62">
        <v>20</v>
      </c>
      <c r="E313" s="63">
        <v>2</v>
      </c>
      <c r="F313" s="113">
        <v>2.44</v>
      </c>
      <c r="G313" s="12"/>
      <c r="H313" s="1"/>
    </row>
    <row r="314" spans="1:8" ht="30">
      <c r="A314" s="13">
        <v>295</v>
      </c>
      <c r="B314" s="14" t="s">
        <v>320</v>
      </c>
      <c r="C314" s="24" t="s">
        <v>12</v>
      </c>
      <c r="D314" s="62">
        <f>SUM(100+100)</f>
        <v>200</v>
      </c>
      <c r="E314" s="63">
        <v>15</v>
      </c>
      <c r="F314" s="116">
        <v>18.3</v>
      </c>
      <c r="G314" s="12"/>
      <c r="H314" s="1"/>
    </row>
    <row r="315" spans="1:8" ht="15">
      <c r="A315" s="6">
        <v>296</v>
      </c>
      <c r="B315" s="14" t="s">
        <v>321</v>
      </c>
      <c r="C315" s="24" t="s">
        <v>12</v>
      </c>
      <c r="D315" s="62">
        <v>100</v>
      </c>
      <c r="E315" s="63">
        <v>10</v>
      </c>
      <c r="F315" s="116">
        <v>12.2</v>
      </c>
      <c r="G315" s="12"/>
      <c r="H315" s="1"/>
    </row>
    <row r="316" spans="1:8" ht="15">
      <c r="A316" s="13">
        <v>297</v>
      </c>
      <c r="B316" s="14" t="s">
        <v>322</v>
      </c>
      <c r="C316" s="24" t="s">
        <v>12</v>
      </c>
      <c r="D316" s="93">
        <v>80</v>
      </c>
      <c r="E316" s="94">
        <v>2</v>
      </c>
      <c r="F316" s="117">
        <v>2.44</v>
      </c>
      <c r="G316" s="12"/>
      <c r="H316" s="1"/>
    </row>
    <row r="317" spans="1:8" ht="15">
      <c r="A317" s="6">
        <v>298</v>
      </c>
      <c r="B317" s="14" t="s">
        <v>323</v>
      </c>
      <c r="C317" s="24" t="s">
        <v>12</v>
      </c>
      <c r="D317" s="62">
        <v>70</v>
      </c>
      <c r="E317" s="63">
        <v>2</v>
      </c>
      <c r="F317" s="117">
        <v>2.44</v>
      </c>
      <c r="G317" s="12"/>
      <c r="H317" s="1"/>
    </row>
    <row r="318" spans="1:8" ht="15">
      <c r="A318" s="13">
        <v>299</v>
      </c>
      <c r="B318" s="14" t="s">
        <v>324</v>
      </c>
      <c r="C318" s="24" t="s">
        <v>12</v>
      </c>
      <c r="D318" s="62">
        <v>70</v>
      </c>
      <c r="E318" s="63">
        <v>2</v>
      </c>
      <c r="F318" s="117">
        <v>2.44</v>
      </c>
      <c r="G318" s="12"/>
      <c r="H318" s="1"/>
    </row>
    <row r="319" spans="1:8" ht="15">
      <c r="A319" s="6">
        <v>300</v>
      </c>
      <c r="B319" s="14" t="s">
        <v>325</v>
      </c>
      <c r="C319" s="24" t="s">
        <v>12</v>
      </c>
      <c r="D319" s="93">
        <v>60</v>
      </c>
      <c r="E319" s="94">
        <v>5</v>
      </c>
      <c r="F319" s="117">
        <v>6.1</v>
      </c>
      <c r="G319" s="12"/>
      <c r="H319" s="1"/>
    </row>
    <row r="320" spans="1:8" ht="15">
      <c r="A320" s="13">
        <v>301</v>
      </c>
      <c r="B320" s="14" t="s">
        <v>326</v>
      </c>
      <c r="C320" s="24" t="s">
        <v>12</v>
      </c>
      <c r="D320" s="93">
        <v>60</v>
      </c>
      <c r="E320" s="94">
        <v>4</v>
      </c>
      <c r="F320" s="117">
        <v>4.88</v>
      </c>
      <c r="G320" s="12"/>
      <c r="H320" s="1"/>
    </row>
    <row r="321" spans="1:8" ht="15">
      <c r="A321" s="6">
        <v>302</v>
      </c>
      <c r="B321" s="14" t="s">
        <v>327</v>
      </c>
      <c r="C321" s="24" t="s">
        <v>12</v>
      </c>
      <c r="D321" s="93">
        <v>60</v>
      </c>
      <c r="E321" s="94">
        <v>4</v>
      </c>
      <c r="F321" s="117">
        <v>4.88</v>
      </c>
      <c r="G321" s="12"/>
      <c r="H321" s="1"/>
    </row>
    <row r="322" spans="1:8" ht="15">
      <c r="A322" s="13">
        <v>303</v>
      </c>
      <c r="B322" s="14" t="s">
        <v>328</v>
      </c>
      <c r="C322" s="24" t="s">
        <v>12</v>
      </c>
      <c r="D322" s="93">
        <v>60</v>
      </c>
      <c r="E322" s="94">
        <v>2</v>
      </c>
      <c r="F322" s="118">
        <v>2.44</v>
      </c>
      <c r="G322" s="12"/>
      <c r="H322" s="1"/>
    </row>
    <row r="323" spans="1:8" ht="15">
      <c r="A323" s="6">
        <v>304</v>
      </c>
      <c r="B323" s="14" t="s">
        <v>329</v>
      </c>
      <c r="C323" s="24" t="s">
        <v>12</v>
      </c>
      <c r="D323" s="93">
        <v>10</v>
      </c>
      <c r="E323" s="94">
        <v>2</v>
      </c>
      <c r="F323" s="117">
        <v>2.44</v>
      </c>
      <c r="G323" s="12"/>
      <c r="H323" s="1"/>
    </row>
    <row r="324" spans="1:8" ht="15">
      <c r="A324" s="13">
        <v>305</v>
      </c>
      <c r="B324" s="95" t="s">
        <v>330</v>
      </c>
      <c r="C324" s="24" t="s">
        <v>12</v>
      </c>
      <c r="D324" s="62">
        <f>SUM(50+50)</f>
        <v>100</v>
      </c>
      <c r="E324" s="63">
        <v>5</v>
      </c>
      <c r="F324" s="115">
        <v>6.1</v>
      </c>
      <c r="G324" s="12"/>
      <c r="H324" s="1"/>
    </row>
    <row r="325" spans="1:8" ht="15">
      <c r="A325" s="6">
        <v>306</v>
      </c>
      <c r="B325" s="14" t="s">
        <v>331</v>
      </c>
      <c r="C325" s="24" t="s">
        <v>25</v>
      </c>
      <c r="D325" s="62">
        <v>3</v>
      </c>
      <c r="E325" s="63">
        <v>2.3</v>
      </c>
      <c r="F325" s="114">
        <v>2.46</v>
      </c>
      <c r="G325" s="12"/>
      <c r="H325" s="1"/>
    </row>
    <row r="326" spans="1:8" ht="15">
      <c r="A326" s="13">
        <v>307</v>
      </c>
      <c r="B326" s="14" t="s">
        <v>332</v>
      </c>
      <c r="C326" s="24" t="s">
        <v>25</v>
      </c>
      <c r="D326" s="62">
        <v>3</v>
      </c>
      <c r="E326" s="63">
        <v>3</v>
      </c>
      <c r="F326" s="114">
        <v>3.21</v>
      </c>
      <c r="G326" s="12"/>
      <c r="H326" s="1"/>
    </row>
    <row r="327" spans="1:8" ht="15">
      <c r="A327" s="6">
        <v>308</v>
      </c>
      <c r="B327" s="90" t="s">
        <v>333</v>
      </c>
      <c r="C327" s="24" t="s">
        <v>12</v>
      </c>
      <c r="D327" s="62">
        <f>SUM(10+10+10+10)</f>
        <v>40</v>
      </c>
      <c r="E327" s="63">
        <v>20</v>
      </c>
      <c r="F327" s="114">
        <v>24.4</v>
      </c>
      <c r="G327" s="12"/>
      <c r="H327" s="1"/>
    </row>
    <row r="328" spans="1:8" ht="15">
      <c r="A328" s="13">
        <v>309</v>
      </c>
      <c r="B328" s="14" t="s">
        <v>334</v>
      </c>
      <c r="C328" s="15" t="s">
        <v>12</v>
      </c>
      <c r="D328" s="62">
        <f>SUM(1+2+20+2+4+15+7+4+2+20+1+5+2+2+2+3+1)</f>
        <v>93</v>
      </c>
      <c r="E328" s="63">
        <v>25</v>
      </c>
      <c r="F328" s="113">
        <v>30.5</v>
      </c>
      <c r="G328" s="12"/>
      <c r="H328" s="1"/>
    </row>
    <row r="329" spans="1:8" ht="15">
      <c r="A329" s="6">
        <v>310</v>
      </c>
      <c r="B329" s="14" t="s">
        <v>335</v>
      </c>
      <c r="C329" s="15" t="s">
        <v>12</v>
      </c>
      <c r="D329" s="62">
        <f>SUM(2+5+2+20+10+2+5+1+5+1+2+2+3+6)</f>
        <v>66</v>
      </c>
      <c r="E329" s="63">
        <v>14</v>
      </c>
      <c r="F329" s="113">
        <v>17.08</v>
      </c>
      <c r="G329" s="12"/>
      <c r="H329" s="1"/>
    </row>
    <row r="330" spans="1:8" ht="15">
      <c r="A330" s="13">
        <v>311</v>
      </c>
      <c r="B330" s="41" t="s">
        <v>336</v>
      </c>
      <c r="C330" s="24" t="s">
        <v>12</v>
      </c>
      <c r="D330" s="62">
        <v>4</v>
      </c>
      <c r="E330" s="63">
        <v>50</v>
      </c>
      <c r="F330" s="114">
        <v>61</v>
      </c>
      <c r="G330" s="12"/>
      <c r="H330" s="1"/>
    </row>
    <row r="331" spans="1:8" ht="15">
      <c r="A331" s="6">
        <v>312</v>
      </c>
      <c r="B331" s="96" t="s">
        <v>337</v>
      </c>
      <c r="C331" s="24" t="s">
        <v>12</v>
      </c>
      <c r="D331" s="62">
        <f>SUM(1+10+4)</f>
        <v>15</v>
      </c>
      <c r="E331" s="63">
        <v>4.8</v>
      </c>
      <c r="F331" s="113">
        <v>5.14</v>
      </c>
      <c r="G331" s="12"/>
      <c r="H331" s="1"/>
    </row>
    <row r="332" spans="1:8" ht="15.75" thickBot="1">
      <c r="A332" s="97">
        <v>313</v>
      </c>
      <c r="B332" s="98" t="s">
        <v>338</v>
      </c>
      <c r="C332" s="99" t="s">
        <v>12</v>
      </c>
      <c r="D332" s="100">
        <f>SUM(10+5+10+15+6+3+10)</f>
        <v>59</v>
      </c>
      <c r="E332" s="101">
        <v>0.55</v>
      </c>
      <c r="F332" s="119">
        <v>0.67</v>
      </c>
      <c r="G332" s="12"/>
      <c r="H332" s="1"/>
    </row>
    <row r="333" spans="1:8" ht="15.75">
      <c r="A333" s="102"/>
      <c r="B333" s="102"/>
      <c r="C333" s="102"/>
      <c r="D333" s="102"/>
      <c r="E333" s="103"/>
      <c r="F333" s="105"/>
      <c r="G333" s="12"/>
      <c r="H333" s="1"/>
    </row>
    <row r="334" ht="18.75" customHeight="1"/>
    <row r="335" ht="15.75">
      <c r="A335" s="104"/>
    </row>
  </sheetData>
  <mergeCells count="15">
    <mergeCell ref="A2:F2"/>
    <mergeCell ref="A6:F6"/>
    <mergeCell ref="A22:F22"/>
    <mergeCell ref="F28:F29"/>
    <mergeCell ref="A42:F42"/>
    <mergeCell ref="A55:F55"/>
    <mergeCell ref="A69:F69"/>
    <mergeCell ref="A89:F89"/>
    <mergeCell ref="A196:F196"/>
    <mergeCell ref="A217:F217"/>
    <mergeCell ref="A224:F224"/>
    <mergeCell ref="A121:F121"/>
    <mergeCell ref="A147:F147"/>
    <mergeCell ref="A166:F166"/>
    <mergeCell ref="A192:F192"/>
  </mergeCells>
  <printOptions horizontalCentered="1" verticalCentered="1"/>
  <pageMargins left="0.27" right="0.19652777777777777" top="0.32" bottom="0.18" header="0.15763888888888888" footer="0.23"/>
  <pageSetup horizontalDpi="300" verticalDpi="300" orientation="landscape" paperSize="9" scale="90" r:id="rId1"/>
  <headerFooter alignWithMargins="0">
    <oddHeader xml:space="preserve">&amp;RZałącznik nr 2 do Komunikatu Kanclerza nr 6/2009 z dnia  04.11.2009  
                  </oddHeader>
  </headerFooter>
  <rowBreaks count="10" manualBreakCount="10">
    <brk id="21" max="255" man="1"/>
    <brk id="41" max="255" man="1"/>
    <brk id="68" max="255" man="1"/>
    <brk id="100" max="255" man="1"/>
    <brk id="120" max="255" man="1"/>
    <brk id="154" max="5" man="1"/>
    <brk id="190" max="5" man="1"/>
    <brk id="231" max="5" man="1"/>
    <brk id="273" max="5" man="1"/>
    <brk id="3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AKADEMIA ROLNICZA</cp:lastModifiedBy>
  <cp:lastPrinted>2009-11-04T11:36:59Z</cp:lastPrinted>
  <dcterms:created xsi:type="dcterms:W3CDTF">2009-10-19T09:35:57Z</dcterms:created>
  <dcterms:modified xsi:type="dcterms:W3CDTF">2009-11-04T11:37:28Z</dcterms:modified>
  <cp:category/>
  <cp:version/>
  <cp:contentType/>
  <cp:contentStatus/>
</cp:coreProperties>
</file>